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3F47CCD3-A713-4CB6-AB62-BA56F995AB9B}" xr6:coauthVersionLast="47" xr6:coauthVersionMax="47" xr10:uidLastSave="{00000000-0000-0000-0000-000000000000}"/>
  <bookViews>
    <workbookView xWindow="57480" yWindow="-120" windowWidth="29040" windowHeight="15840" tabRatio="708" activeTab="1"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L264" i="28"/>
  <c r="J365" i="74"/>
  <c r="K365" i="74"/>
  <c r="L365" i="74"/>
  <c r="M365" i="74"/>
  <c r="N365" i="74"/>
  <c r="O365" i="74"/>
  <c r="P365" i="74"/>
  <c r="Q365" i="74"/>
  <c r="R365" i="74"/>
  <c r="S365" i="74"/>
  <c r="T365" i="74"/>
  <c r="U365" i="74"/>
  <c r="V365" i="74"/>
  <c r="W365" i="74"/>
  <c r="X365" i="74"/>
  <c r="Y365" i="74"/>
  <c r="Z365" i="74"/>
  <c r="AA365" i="74"/>
  <c r="AB365" i="74"/>
  <c r="AC365" i="74"/>
  <c r="AD365" i="74"/>
  <c r="AE365" i="74"/>
  <c r="AF365" i="74"/>
  <c r="AG365" i="74"/>
  <c r="AH365" i="74"/>
  <c r="AI365" i="74"/>
  <c r="AJ365" i="74"/>
  <c r="AK365" i="74"/>
  <c r="AL365" i="74"/>
  <c r="AM365" i="74"/>
  <c r="AN365" i="74"/>
  <c r="AO365" i="74"/>
  <c r="AP365" i="74"/>
  <c r="AQ365" i="74"/>
  <c r="AR365" i="74"/>
  <c r="AS365" i="74"/>
  <c r="AT365" i="74"/>
  <c r="AU365" i="74"/>
  <c r="AV365" i="74"/>
  <c r="AW365" i="74"/>
  <c r="AX365" i="74"/>
  <c r="AY365" i="74"/>
  <c r="AZ365" i="74"/>
  <c r="BA365" i="74"/>
  <c r="BB365" i="74"/>
  <c r="BC365" i="74"/>
  <c r="BD365" i="74"/>
  <c r="BE365" i="74"/>
  <c r="BF365" i="74"/>
  <c r="BG365" i="74"/>
  <c r="BH365" i="74"/>
  <c r="BI365" i="74"/>
  <c r="BJ365" i="74"/>
  <c r="BK365" i="74"/>
  <c r="BL365" i="74"/>
  <c r="BM365" i="74"/>
  <c r="BN365" i="74"/>
  <c r="BO365" i="74"/>
  <c r="BP365" i="74"/>
  <c r="BQ365" i="74"/>
  <c r="BR365" i="74"/>
  <c r="BS365" i="74"/>
  <c r="BT365" i="74"/>
  <c r="BU365" i="74"/>
  <c r="BV365" i="74"/>
  <c r="BW365" i="74"/>
  <c r="BX365" i="74"/>
  <c r="BY365" i="74"/>
  <c r="BZ365" i="74"/>
  <c r="CA365" i="74"/>
  <c r="CB365" i="74"/>
  <c r="CC365" i="74"/>
  <c r="CD365" i="74"/>
  <c r="CE365" i="74"/>
  <c r="CF365" i="74"/>
  <c r="CG365" i="74"/>
  <c r="CH365" i="74"/>
  <c r="CI365" i="74"/>
  <c r="CJ365" i="74"/>
  <c r="CK365" i="74"/>
  <c r="CL365" i="74"/>
  <c r="CM365" i="74"/>
  <c r="CN365" i="74"/>
  <c r="CO365" i="74"/>
  <c r="CP365" i="74"/>
  <c r="CQ365" i="74"/>
  <c r="CR365" i="74"/>
  <c r="I365" i="74"/>
  <c r="G365" i="74"/>
  <c r="H365" i="74"/>
  <c r="F365" i="74"/>
  <c r="G364" i="74"/>
  <c r="H364" i="74"/>
  <c r="I364" i="74"/>
  <c r="J364" i="74"/>
  <c r="K364" i="74"/>
  <c r="L364" i="74"/>
  <c r="M364" i="74"/>
  <c r="N364" i="74"/>
  <c r="O364" i="74"/>
  <c r="P364" i="74"/>
  <c r="Q364" i="74"/>
  <c r="R364" i="74"/>
  <c r="S364" i="74"/>
  <c r="T364" i="74"/>
  <c r="U364" i="74"/>
  <c r="V364" i="74"/>
  <c r="W364" i="74"/>
  <c r="X364" i="74"/>
  <c r="Y364" i="74"/>
  <c r="Z364" i="74"/>
  <c r="AA364" i="74"/>
  <c r="AB364" i="74"/>
  <c r="AC364" i="74"/>
  <c r="AD364" i="74"/>
  <c r="AE364" i="74"/>
  <c r="AF364" i="74"/>
  <c r="AG364" i="74"/>
  <c r="AH364" i="74"/>
  <c r="AI364" i="74"/>
  <c r="AJ364" i="74"/>
  <c r="AK364" i="74"/>
  <c r="AL364" i="74"/>
  <c r="AM364" i="74"/>
  <c r="AN364" i="74"/>
  <c r="AO364" i="74"/>
  <c r="AP364" i="74"/>
  <c r="AQ364" i="74"/>
  <c r="AR364" i="74"/>
  <c r="AS364" i="74"/>
  <c r="AT364" i="74"/>
  <c r="AU364" i="74"/>
  <c r="AV364" i="74"/>
  <c r="AW364" i="74"/>
  <c r="AX364" i="74"/>
  <c r="AY364" i="74"/>
  <c r="AZ364" i="74"/>
  <c r="BA364" i="74"/>
  <c r="BB364" i="74"/>
  <c r="BC364" i="74"/>
  <c r="BD364" i="74"/>
  <c r="BE364" i="74"/>
  <c r="BF364" i="74"/>
  <c r="BG364" i="74"/>
  <c r="BH364" i="74"/>
  <c r="BI364" i="74"/>
  <c r="BJ364" i="74"/>
  <c r="BK364" i="74"/>
  <c r="BL364" i="74"/>
  <c r="BM364" i="74"/>
  <c r="BN364" i="74"/>
  <c r="BO364" i="74"/>
  <c r="BP364" i="74"/>
  <c r="BQ364" i="74"/>
  <c r="BR364" i="74"/>
  <c r="BS364" i="74"/>
  <c r="BT364" i="74"/>
  <c r="BU364" i="74"/>
  <c r="BV364" i="74"/>
  <c r="BW364" i="74"/>
  <c r="BX364" i="74"/>
  <c r="BY364" i="74"/>
  <c r="BZ364" i="74"/>
  <c r="CA364" i="74"/>
  <c r="CB364" i="74"/>
  <c r="CC364" i="74"/>
  <c r="CD364" i="74"/>
  <c r="CE364" i="74"/>
  <c r="CF364" i="74"/>
  <c r="CG364" i="74"/>
  <c r="CH364" i="74"/>
  <c r="CI364" i="74"/>
  <c r="CJ364" i="74"/>
  <c r="CK364" i="74"/>
  <c r="CL364" i="74"/>
  <c r="CM364" i="74"/>
  <c r="CN364" i="74"/>
  <c r="CO364" i="74"/>
  <c r="CP364" i="74"/>
  <c r="CQ364" i="74"/>
  <c r="CR364" i="74"/>
  <c r="F364" i="74"/>
  <c r="B12" i="71"/>
  <c r="B8" i="71"/>
  <c r="E85" i="53"/>
  <c r="E83" i="53"/>
  <c r="E81" i="53"/>
  <c r="F66" i="53"/>
  <c r="F64" i="53"/>
  <c r="F62" i="53"/>
  <c r="E251" i="28"/>
  <c r="E250" i="28"/>
  <c r="G410" i="74" l="1"/>
  <c r="H410" i="74"/>
  <c r="H413" i="74" s="1"/>
  <c r="I410" i="74"/>
  <c r="J410" i="74"/>
  <c r="K410" i="74"/>
  <c r="L410" i="74"/>
  <c r="M410" i="74"/>
  <c r="N410" i="74"/>
  <c r="O410" i="74"/>
  <c r="P410" i="74"/>
  <c r="P413" i="74" s="1"/>
  <c r="Q410" i="74"/>
  <c r="R410" i="74"/>
  <c r="S410" i="74"/>
  <c r="T410" i="74"/>
  <c r="U410" i="74"/>
  <c r="V410" i="74"/>
  <c r="W410" i="74"/>
  <c r="X410" i="74"/>
  <c r="X413" i="74" s="1"/>
  <c r="Y410" i="74"/>
  <c r="Z410" i="74"/>
  <c r="AA410" i="74"/>
  <c r="AB410" i="74"/>
  <c r="AC410" i="74"/>
  <c r="AD410" i="74"/>
  <c r="AE410" i="74"/>
  <c r="AF410" i="74"/>
  <c r="AF413" i="74" s="1"/>
  <c r="AG410" i="74"/>
  <c r="AH410" i="74"/>
  <c r="AI410" i="74"/>
  <c r="AJ410" i="74"/>
  <c r="AK410" i="74"/>
  <c r="AL410" i="74"/>
  <c r="AM410" i="74"/>
  <c r="AN410" i="74"/>
  <c r="AN413" i="74" s="1"/>
  <c r="AO410" i="74"/>
  <c r="AP410" i="74"/>
  <c r="AQ410" i="74"/>
  <c r="AR410" i="74"/>
  <c r="AS410" i="74"/>
  <c r="AT410" i="74"/>
  <c r="AU410" i="74"/>
  <c r="AV410" i="74"/>
  <c r="AV413" i="74" s="1"/>
  <c r="AW410" i="74"/>
  <c r="AX410" i="74"/>
  <c r="AY410" i="74"/>
  <c r="AZ410" i="74"/>
  <c r="BA410" i="74"/>
  <c r="BB410" i="74"/>
  <c r="BC410" i="74"/>
  <c r="BD410" i="74"/>
  <c r="BD413" i="74" s="1"/>
  <c r="BE410" i="74"/>
  <c r="BF410" i="74"/>
  <c r="BG410" i="74"/>
  <c r="BH410" i="74"/>
  <c r="BI410" i="74"/>
  <c r="BJ410" i="74"/>
  <c r="BK410" i="74"/>
  <c r="BL410" i="74"/>
  <c r="BL413" i="74" s="1"/>
  <c r="BM410" i="74"/>
  <c r="BN410" i="74"/>
  <c r="BO410" i="74"/>
  <c r="BP410" i="74"/>
  <c r="BQ410" i="74"/>
  <c r="BR410" i="74"/>
  <c r="BS410" i="74"/>
  <c r="BT410" i="74"/>
  <c r="BT413" i="74" s="1"/>
  <c r="BU410" i="74"/>
  <c r="BV410" i="74"/>
  <c r="BW410" i="74"/>
  <c r="BX410" i="74"/>
  <c r="BY410" i="74"/>
  <c r="BZ410" i="74"/>
  <c r="CA410" i="74"/>
  <c r="CB410" i="74"/>
  <c r="CB413" i="74" s="1"/>
  <c r="CC410" i="74"/>
  <c r="CD410" i="74"/>
  <c r="CE410" i="74"/>
  <c r="CF410" i="74"/>
  <c r="CG410" i="74"/>
  <c r="CH410" i="74"/>
  <c r="CI410" i="74"/>
  <c r="CJ410" i="74"/>
  <c r="CJ413" i="74" s="1"/>
  <c r="CK410" i="74"/>
  <c r="CL410" i="74"/>
  <c r="CM410" i="74"/>
  <c r="CN410" i="74"/>
  <c r="CO410" i="74"/>
  <c r="CP410" i="74"/>
  <c r="CQ410" i="74"/>
  <c r="CR410" i="74"/>
  <c r="CR413" i="74" s="1"/>
  <c r="G411" i="74"/>
  <c r="H411" i="74"/>
  <c r="I411" i="74"/>
  <c r="I413" i="74" s="1"/>
  <c r="J411" i="74"/>
  <c r="K411" i="74"/>
  <c r="L411" i="74"/>
  <c r="M411" i="74"/>
  <c r="M413" i="74" s="1"/>
  <c r="N411" i="74"/>
  <c r="N413" i="74" s="1"/>
  <c r="O411" i="74"/>
  <c r="P411" i="74"/>
  <c r="Q411" i="74"/>
  <c r="Q413" i="74" s="1"/>
  <c r="R411" i="74"/>
  <c r="S411" i="74"/>
  <c r="T411" i="74"/>
  <c r="U411" i="74"/>
  <c r="U413" i="74" s="1"/>
  <c r="V411" i="74"/>
  <c r="V413" i="74" s="1"/>
  <c r="W411" i="74"/>
  <c r="X411" i="74"/>
  <c r="Y411" i="74"/>
  <c r="Y413" i="74" s="1"/>
  <c r="Z411" i="74"/>
  <c r="AA411" i="74"/>
  <c r="AB411" i="74"/>
  <c r="AC411" i="74"/>
  <c r="AC413" i="74" s="1"/>
  <c r="AD411" i="74"/>
  <c r="AD413" i="74" s="1"/>
  <c r="AE411" i="74"/>
  <c r="AF411" i="74"/>
  <c r="AG411" i="74"/>
  <c r="AG413" i="74" s="1"/>
  <c r="AH411" i="74"/>
  <c r="AI411" i="74"/>
  <c r="AJ411" i="74"/>
  <c r="AK411" i="74"/>
  <c r="AK413" i="74" s="1"/>
  <c r="AL411" i="74"/>
  <c r="AL413" i="74" s="1"/>
  <c r="AM411" i="74"/>
  <c r="AN411" i="74"/>
  <c r="AO411" i="74"/>
  <c r="AO413" i="74" s="1"/>
  <c r="AP411" i="74"/>
  <c r="AQ411" i="74"/>
  <c r="AR411" i="74"/>
  <c r="AS411" i="74"/>
  <c r="AS413" i="74" s="1"/>
  <c r="AT411" i="74"/>
  <c r="AT413" i="74" s="1"/>
  <c r="AU411" i="74"/>
  <c r="AV411" i="74"/>
  <c r="AW411" i="74"/>
  <c r="AW413" i="74" s="1"/>
  <c r="AX411" i="74"/>
  <c r="AY411" i="74"/>
  <c r="AZ411" i="74"/>
  <c r="BA411" i="74"/>
  <c r="BA413" i="74" s="1"/>
  <c r="BB411" i="74"/>
  <c r="BB413" i="74" s="1"/>
  <c r="BC411" i="74"/>
  <c r="BD411" i="74"/>
  <c r="BE411" i="74"/>
  <c r="BE413" i="74" s="1"/>
  <c r="BF411" i="74"/>
  <c r="BG411" i="74"/>
  <c r="BH411" i="74"/>
  <c r="BI411" i="74"/>
  <c r="BI413" i="74" s="1"/>
  <c r="BJ411" i="74"/>
  <c r="BJ413" i="74" s="1"/>
  <c r="BK411" i="74"/>
  <c r="BL411" i="74"/>
  <c r="BM411" i="74"/>
  <c r="BM413" i="74" s="1"/>
  <c r="BN411" i="74"/>
  <c r="BO411" i="74"/>
  <c r="BP411" i="74"/>
  <c r="BQ411" i="74"/>
  <c r="BQ413" i="74" s="1"/>
  <c r="BR411" i="74"/>
  <c r="BR413" i="74" s="1"/>
  <c r="BS411" i="74"/>
  <c r="BT411" i="74"/>
  <c r="BU411" i="74"/>
  <c r="BU413" i="74" s="1"/>
  <c r="BV411" i="74"/>
  <c r="BW411" i="74"/>
  <c r="BX411" i="74"/>
  <c r="BY411" i="74"/>
  <c r="BY413" i="74" s="1"/>
  <c r="BZ411" i="74"/>
  <c r="BZ413" i="74" s="1"/>
  <c r="CA411" i="74"/>
  <c r="CB411" i="74"/>
  <c r="CC411" i="74"/>
  <c r="CC413" i="74" s="1"/>
  <c r="CD411" i="74"/>
  <c r="CE411" i="74"/>
  <c r="CF411" i="74"/>
  <c r="CG411" i="74"/>
  <c r="CG413" i="74" s="1"/>
  <c r="CH411" i="74"/>
  <c r="CH413" i="74" s="1"/>
  <c r="CI411" i="74"/>
  <c r="CJ411" i="74"/>
  <c r="CK411" i="74"/>
  <c r="CK413" i="74" s="1"/>
  <c r="CL411" i="74"/>
  <c r="CM411" i="74"/>
  <c r="CN411" i="74"/>
  <c r="CO411" i="74"/>
  <c r="CO413" i="74" s="1"/>
  <c r="CP411" i="74"/>
  <c r="CP413" i="74" s="1"/>
  <c r="CQ411" i="74"/>
  <c r="CR411" i="74"/>
  <c r="G413" i="74"/>
  <c r="J413" i="74"/>
  <c r="K413" i="74"/>
  <c r="L413" i="74"/>
  <c r="O413" i="74"/>
  <c r="R413" i="74"/>
  <c r="S413" i="74"/>
  <c r="T413" i="74"/>
  <c r="W413" i="74"/>
  <c r="Z413" i="74"/>
  <c r="AA413" i="74"/>
  <c r="AB413" i="74"/>
  <c r="AE413" i="74"/>
  <c r="AH413" i="74"/>
  <c r="AI413" i="74"/>
  <c r="AJ413" i="74"/>
  <c r="AM413" i="74"/>
  <c r="AP413" i="74"/>
  <c r="AQ413" i="74"/>
  <c r="AR413" i="74"/>
  <c r="AU413" i="74"/>
  <c r="AX413" i="74"/>
  <c r="AY413" i="74"/>
  <c r="AZ413" i="74"/>
  <c r="BC413" i="74"/>
  <c r="BF413" i="74"/>
  <c r="BG413" i="74"/>
  <c r="BH413" i="74"/>
  <c r="BK413" i="74"/>
  <c r="BN413" i="74"/>
  <c r="BO413" i="74"/>
  <c r="BP413" i="74"/>
  <c r="BS413" i="74"/>
  <c r="BV413" i="74"/>
  <c r="BW413" i="74"/>
  <c r="BX413" i="74"/>
  <c r="CA413" i="74"/>
  <c r="CD413" i="74"/>
  <c r="CE413" i="74"/>
  <c r="CF413" i="74"/>
  <c r="CI413" i="74"/>
  <c r="CL413" i="74"/>
  <c r="CM413" i="74"/>
  <c r="CN413" i="74"/>
  <c r="CQ413" i="74"/>
  <c r="F413" i="74"/>
  <c r="F411" i="74"/>
  <c r="F410" i="74"/>
  <c r="D41" i="80"/>
  <c r="D35" i="80"/>
  <c r="D6" i="73" l="1"/>
  <c r="F9" i="80" s="1"/>
  <c r="D18" i="80"/>
  <c r="F26" i="80"/>
  <c r="E260" i="28" l="1"/>
  <c r="E259" i="28"/>
  <c r="E258" i="28"/>
  <c r="E256" i="28"/>
  <c r="E255" i="28"/>
  <c r="L255" i="28" s="1"/>
  <c r="E253" i="28"/>
  <c r="E252" i="28"/>
  <c r="E249" i="28"/>
  <c r="E248" i="28"/>
  <c r="E247" i="28"/>
  <c r="E246"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T59" i="29"/>
  <c r="U59" i="29"/>
  <c r="T60" i="29"/>
  <c r="U60" i="29"/>
  <c r="T61" i="29"/>
  <c r="U61" i="29"/>
  <c r="T62" i="29"/>
  <c r="U62" i="29"/>
  <c r="T63" i="29"/>
  <c r="U63" i="29"/>
  <c r="T64" i="29"/>
  <c r="U64" i="29"/>
  <c r="T65" i="29"/>
  <c r="U65" i="29"/>
  <c r="T66" i="29"/>
  <c r="U66" i="29"/>
  <c r="T67" i="29"/>
  <c r="U67" i="29"/>
  <c r="T68" i="29"/>
  <c r="U68" i="29"/>
  <c r="T69" i="29"/>
  <c r="U69" i="29"/>
  <c r="T70" i="29"/>
  <c r="U70" i="29"/>
  <c r="T71" i="29"/>
  <c r="U71" i="29"/>
  <c r="T72" i="29"/>
  <c r="U72" i="29"/>
  <c r="T73" i="29"/>
  <c r="U73" i="29"/>
  <c r="T74" i="29"/>
  <c r="U74" i="29"/>
  <c r="T75" i="29"/>
  <c r="U75" i="29"/>
  <c r="T76" i="29"/>
  <c r="U76" i="29"/>
  <c r="T77" i="29"/>
  <c r="U77" i="29"/>
  <c r="T78" i="29"/>
  <c r="U78" i="29"/>
  <c r="T79" i="29"/>
  <c r="U79" i="29"/>
  <c r="T80" i="29"/>
  <c r="U80" i="29"/>
  <c r="T81" i="29"/>
  <c r="U81" i="29"/>
  <c r="T82" i="29"/>
  <c r="U82" i="29"/>
  <c r="T83" i="29"/>
  <c r="U83" i="29"/>
  <c r="T84" i="29"/>
  <c r="U84" i="29"/>
  <c r="T85" i="29"/>
  <c r="U85" i="29"/>
  <c r="T86" i="29"/>
  <c r="U86" i="29"/>
  <c r="T87" i="29"/>
  <c r="U87" i="29"/>
  <c r="T88" i="29"/>
  <c r="U88" i="29"/>
  <c r="T89" i="29"/>
  <c r="U89" i="29"/>
  <c r="T90" i="29"/>
  <c r="U90" i="29"/>
  <c r="T91" i="29"/>
  <c r="U91" i="29"/>
  <c r="T92" i="29"/>
  <c r="U92"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O69" i="29"/>
  <c r="P69" i="29"/>
  <c r="O70" i="29"/>
  <c r="P70" i="29"/>
  <c r="O71" i="29"/>
  <c r="P71" i="29"/>
  <c r="O72" i="29"/>
  <c r="P72" i="29"/>
  <c r="O73" i="29"/>
  <c r="P73" i="29"/>
  <c r="O74" i="29"/>
  <c r="P74" i="29"/>
  <c r="O75" i="29"/>
  <c r="P75" i="29"/>
  <c r="O76" i="29"/>
  <c r="P76" i="29"/>
  <c r="O77" i="29"/>
  <c r="P77" i="29"/>
  <c r="O78" i="29"/>
  <c r="P78" i="29"/>
  <c r="O79" i="29"/>
  <c r="P79" i="29"/>
  <c r="O80" i="29"/>
  <c r="P80" i="29"/>
  <c r="O81" i="29"/>
  <c r="P81" i="29"/>
  <c r="O82" i="29"/>
  <c r="P82" i="29"/>
  <c r="O83" i="29"/>
  <c r="P83" i="29"/>
  <c r="O84" i="29"/>
  <c r="P84" i="29"/>
  <c r="O85" i="29"/>
  <c r="P85" i="29"/>
  <c r="O86" i="29"/>
  <c r="P86" i="29"/>
  <c r="O87" i="29"/>
  <c r="P87" i="29"/>
  <c r="O88" i="29"/>
  <c r="P88" i="29"/>
  <c r="O89" i="29"/>
  <c r="P89" i="29"/>
  <c r="O90" i="29"/>
  <c r="P90" i="29"/>
  <c r="O91" i="29"/>
  <c r="P91" i="29"/>
  <c r="O92" i="29"/>
  <c r="P92" i="29"/>
  <c r="U2" i="29"/>
  <c r="T2" i="29"/>
  <c r="P2" i="29"/>
  <c r="O2" i="29"/>
  <c r="BT298" i="42" l="1"/>
  <c r="BU298" i="42"/>
  <c r="BV298" i="42"/>
  <c r="BW298" i="42"/>
  <c r="BX298" i="42"/>
  <c r="BY298" i="42"/>
  <c r="BZ298" i="42"/>
  <c r="CA298" i="42"/>
  <c r="CB298" i="42"/>
  <c r="CC298" i="42"/>
  <c r="CD298" i="42"/>
  <c r="CE298" i="42"/>
  <c r="CF298" i="42"/>
  <c r="CG298" i="42"/>
  <c r="CH298" i="42"/>
  <c r="CH299" i="42" s="1"/>
  <c r="CI298" i="42"/>
  <c r="CJ298" i="42"/>
  <c r="CK298" i="42"/>
  <c r="CL298" i="42"/>
  <c r="CM298" i="42"/>
  <c r="CN298" i="42"/>
  <c r="CO298" i="42"/>
  <c r="CP298" i="42"/>
  <c r="CQ298" i="42"/>
  <c r="BT299" i="42"/>
  <c r="BU299" i="42"/>
  <c r="BV299" i="42"/>
  <c r="BW299" i="42"/>
  <c r="BX299" i="42"/>
  <c r="BY299" i="42"/>
  <c r="BZ299" i="42"/>
  <c r="CA299" i="42"/>
  <c r="CB299" i="42"/>
  <c r="CC299" i="42"/>
  <c r="CD299" i="42"/>
  <c r="CE299" i="42"/>
  <c r="CF299" i="42"/>
  <c r="CG299" i="42"/>
  <c r="CI299" i="42"/>
  <c r="CJ299" i="42"/>
  <c r="CK299" i="42"/>
  <c r="CL299" i="42"/>
  <c r="CM299" i="42"/>
  <c r="CN299" i="42"/>
  <c r="CO299" i="42"/>
  <c r="CP299" i="42"/>
  <c r="CQ299" i="42"/>
  <c r="BT300" i="42"/>
  <c r="BU300" i="42"/>
  <c r="BV300" i="42"/>
  <c r="BW300" i="42"/>
  <c r="BX300" i="42"/>
  <c r="BY300" i="42"/>
  <c r="BZ300" i="42"/>
  <c r="CA300" i="42"/>
  <c r="CB300" i="42"/>
  <c r="CC300" i="42"/>
  <c r="CD300" i="42"/>
  <c r="CE300" i="42"/>
  <c r="CF300" i="42"/>
  <c r="CG300" i="42"/>
  <c r="CH300" i="42"/>
  <c r="CI300" i="42"/>
  <c r="CJ300" i="42"/>
  <c r="CK300" i="42"/>
  <c r="CL300" i="42"/>
  <c r="CM300" i="42"/>
  <c r="CN300" i="42"/>
  <c r="CO300" i="42"/>
  <c r="CP300" i="42"/>
  <c r="CQ300" i="42"/>
  <c r="BT301" i="42"/>
  <c r="BU301" i="42"/>
  <c r="BV301" i="42"/>
  <c r="BW301" i="42"/>
  <c r="BX301" i="42"/>
  <c r="BY301" i="42"/>
  <c r="BZ301" i="42"/>
  <c r="CA301" i="42"/>
  <c r="CB301" i="42"/>
  <c r="CC301" i="42"/>
  <c r="CD301" i="42"/>
  <c r="CE301" i="42"/>
  <c r="CF301" i="42"/>
  <c r="CG301" i="42"/>
  <c r="CH301" i="42"/>
  <c r="CI301" i="42"/>
  <c r="CJ301" i="42"/>
  <c r="CK301" i="42"/>
  <c r="CL301" i="42"/>
  <c r="CM301" i="42"/>
  <c r="CN301" i="42"/>
  <c r="CO301" i="42"/>
  <c r="CP301" i="42"/>
  <c r="CQ301" i="42"/>
  <c r="BT302" i="42"/>
  <c r="BU302" i="42"/>
  <c r="BV302" i="42"/>
  <c r="BW302" i="42"/>
  <c r="BX302" i="42"/>
  <c r="BY302" i="42"/>
  <c r="BZ302" i="42"/>
  <c r="CA302" i="42"/>
  <c r="CB302" i="42"/>
  <c r="CC302" i="42"/>
  <c r="CD302" i="42"/>
  <c r="CE302" i="42"/>
  <c r="CF302" i="42"/>
  <c r="CG302" i="42"/>
  <c r="CH302" i="42"/>
  <c r="CI302" i="42"/>
  <c r="CJ302" i="42"/>
  <c r="CK302" i="42"/>
  <c r="CL302" i="42"/>
  <c r="CM302" i="42"/>
  <c r="CN302" i="42"/>
  <c r="CO302" i="42"/>
  <c r="CP302" i="42"/>
  <c r="CQ302" i="42"/>
  <c r="BT303" i="42"/>
  <c r="BU303" i="42"/>
  <c r="BV303" i="42"/>
  <c r="BW303" i="42"/>
  <c r="BX303" i="42"/>
  <c r="BY303" i="42"/>
  <c r="BZ303" i="42"/>
  <c r="CA303" i="42"/>
  <c r="CB303" i="42"/>
  <c r="CC303" i="42"/>
  <c r="CD303" i="42"/>
  <c r="CE303" i="42"/>
  <c r="CF303" i="42"/>
  <c r="CG303" i="42"/>
  <c r="CH303" i="42"/>
  <c r="CI303" i="42"/>
  <c r="CJ303" i="42"/>
  <c r="CK303" i="42"/>
  <c r="CL303" i="42"/>
  <c r="CM303" i="42"/>
  <c r="CN303" i="42"/>
  <c r="CO303" i="42"/>
  <c r="CP303" i="42"/>
  <c r="CQ303" i="42"/>
  <c r="BT304" i="42"/>
  <c r="BU304" i="42"/>
  <c r="BV304" i="42"/>
  <c r="BW304" i="42"/>
  <c r="BX304" i="42"/>
  <c r="BY304" i="42"/>
  <c r="BZ304" i="42"/>
  <c r="CA304" i="42"/>
  <c r="CB304" i="42"/>
  <c r="CC304" i="42"/>
  <c r="CD304" i="42"/>
  <c r="CE304" i="42"/>
  <c r="CF304" i="42"/>
  <c r="CG304" i="42"/>
  <c r="CH304" i="42"/>
  <c r="CI304" i="42"/>
  <c r="CJ304" i="42"/>
  <c r="CK304" i="42"/>
  <c r="CL304" i="42"/>
  <c r="CM304" i="42"/>
  <c r="CN304" i="42"/>
  <c r="CO304" i="42"/>
  <c r="CP304" i="42"/>
  <c r="CQ304" i="42"/>
  <c r="BT305" i="42"/>
  <c r="BU305" i="42"/>
  <c r="BV305" i="42"/>
  <c r="BW305" i="42"/>
  <c r="BX305" i="42"/>
  <c r="BY305" i="42"/>
  <c r="BZ305" i="42"/>
  <c r="CA305" i="42"/>
  <c r="CB305" i="42"/>
  <c r="CC305" i="42"/>
  <c r="CD305" i="42"/>
  <c r="CE305" i="42"/>
  <c r="CF305" i="42"/>
  <c r="CG305" i="42"/>
  <c r="CH305" i="42"/>
  <c r="CI305" i="42"/>
  <c r="CJ305" i="42"/>
  <c r="CK305" i="42"/>
  <c r="CL305" i="42"/>
  <c r="CM305" i="42"/>
  <c r="CN305" i="42"/>
  <c r="CO305" i="42"/>
  <c r="CP305" i="42"/>
  <c r="CQ305" i="42"/>
  <c r="E90" i="1" l="1"/>
  <c r="E91" i="1"/>
  <c r="E92" i="1"/>
  <c r="E93" i="1"/>
  <c r="E97" i="1"/>
  <c r="E96" i="1"/>
  <c r="E95" i="1"/>
  <c r="E94" i="1"/>
  <c r="E100" i="1"/>
  <c r="E96" i="53" l="1"/>
  <c r="A327" i="1"/>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9" i="1" l="1"/>
  <c r="E12"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G87" i="53" l="1"/>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304" i="42" l="1"/>
  <c r="H304" i="42"/>
  <c r="I304" i="42"/>
  <c r="J304" i="42"/>
  <c r="K304" i="42"/>
  <c r="L304" i="42"/>
  <c r="M304" i="42"/>
  <c r="N304" i="42"/>
  <c r="O304" i="42"/>
  <c r="P304" i="42"/>
  <c r="Q304" i="42"/>
  <c r="R304" i="42"/>
  <c r="S304" i="42"/>
  <c r="T304" i="42"/>
  <c r="U304" i="42"/>
  <c r="V304" i="42"/>
  <c r="W304" i="42"/>
  <c r="X304" i="42"/>
  <c r="Y304" i="42"/>
  <c r="Z304" i="42"/>
  <c r="AA304" i="42"/>
  <c r="AB304" i="42"/>
  <c r="AC304" i="42"/>
  <c r="AD304" i="42"/>
  <c r="AE304" i="42"/>
  <c r="AF304" i="42"/>
  <c r="AG304" i="42"/>
  <c r="AH304" i="42"/>
  <c r="AI304" i="42"/>
  <c r="AJ304" i="42"/>
  <c r="AK304" i="42"/>
  <c r="AL304" i="42"/>
  <c r="AM304" i="42"/>
  <c r="AN304" i="42"/>
  <c r="AO304" i="42"/>
  <c r="AP304" i="42"/>
  <c r="AQ304" i="42"/>
  <c r="AR304" i="42"/>
  <c r="AS304" i="42"/>
  <c r="AT304" i="42"/>
  <c r="AU304" i="42"/>
  <c r="AV304" i="42"/>
  <c r="AW304" i="42"/>
  <c r="AX304" i="42"/>
  <c r="AY304" i="42"/>
  <c r="AZ304" i="42"/>
  <c r="BA304" i="42"/>
  <c r="BB304" i="42"/>
  <c r="BC304" i="42"/>
  <c r="BD304" i="42"/>
  <c r="BE304" i="42"/>
  <c r="BF304" i="42"/>
  <c r="BG304" i="42"/>
  <c r="BH304" i="42"/>
  <c r="BI304" i="42"/>
  <c r="BJ304" i="42"/>
  <c r="BK304" i="42"/>
  <c r="BL304" i="42"/>
  <c r="BM304" i="42"/>
  <c r="BN304" i="42"/>
  <c r="BO304" i="42"/>
  <c r="BP304" i="42"/>
  <c r="BQ304" i="42"/>
  <c r="BR304" i="42"/>
  <c r="BS304" i="42"/>
  <c r="F301" i="42"/>
  <c r="G301" i="42"/>
  <c r="H301" i="42"/>
  <c r="I301" i="42"/>
  <c r="J301" i="42"/>
  <c r="K301" i="42"/>
  <c r="L301" i="42"/>
  <c r="M301" i="42"/>
  <c r="N301" i="42"/>
  <c r="O301" i="42"/>
  <c r="P301" i="42"/>
  <c r="Q301" i="42"/>
  <c r="R301" i="42"/>
  <c r="S301" i="42"/>
  <c r="T301" i="42"/>
  <c r="U301" i="42"/>
  <c r="V301" i="42"/>
  <c r="W301" i="42"/>
  <c r="X301" i="42"/>
  <c r="Y301" i="42"/>
  <c r="Z301" i="42"/>
  <c r="AA301" i="42"/>
  <c r="AB301" i="42"/>
  <c r="AC301" i="42"/>
  <c r="AD301" i="42"/>
  <c r="AE301" i="42"/>
  <c r="AF301" i="42"/>
  <c r="AG301" i="42"/>
  <c r="AH301" i="42"/>
  <c r="AI301" i="42"/>
  <c r="AJ301" i="42"/>
  <c r="AK301" i="42"/>
  <c r="AL301" i="42"/>
  <c r="AM301" i="42"/>
  <c r="AN301" i="42"/>
  <c r="AO301" i="42"/>
  <c r="AP301" i="42"/>
  <c r="AQ301" i="42"/>
  <c r="AR301" i="42"/>
  <c r="AS301" i="42"/>
  <c r="AT301" i="42"/>
  <c r="AU301" i="42"/>
  <c r="AV301" i="42"/>
  <c r="AW301" i="42"/>
  <c r="AX301" i="42"/>
  <c r="AY301" i="42"/>
  <c r="AZ301" i="42"/>
  <c r="BA301" i="42"/>
  <c r="BB301" i="42"/>
  <c r="BC301" i="42"/>
  <c r="BD301" i="42"/>
  <c r="BE301" i="42"/>
  <c r="BF301" i="42"/>
  <c r="BG301" i="42"/>
  <c r="BH301" i="42"/>
  <c r="BI301" i="42"/>
  <c r="BJ301" i="42"/>
  <c r="BK301" i="42"/>
  <c r="BL301" i="42"/>
  <c r="BM301" i="42"/>
  <c r="BN301" i="42"/>
  <c r="BO301" i="42"/>
  <c r="BP301" i="42"/>
  <c r="BQ301" i="42"/>
  <c r="BR301" i="42"/>
  <c r="BS301" i="42"/>
  <c r="F304" i="42"/>
  <c r="E304" i="42"/>
  <c r="E301" i="42" l="1"/>
  <c r="G199" i="1" l="1"/>
  <c r="G183" i="1"/>
  <c r="G132" i="1"/>
  <c r="H74" i="53" l="1"/>
  <c r="H72" i="53"/>
  <c r="H70" i="53"/>
  <c r="H68" i="53"/>
  <c r="H66" i="53"/>
  <c r="H64" i="53"/>
  <c r="H62" i="53"/>
  <c r="H60" i="53"/>
  <c r="H55" i="53"/>
  <c r="H51" i="53"/>
  <c r="H49" i="53"/>
  <c r="H47" i="53"/>
  <c r="H45" i="53"/>
  <c r="H43" i="53"/>
  <c r="H41" i="53"/>
  <c r="H57" i="53"/>
  <c r="H78" i="53"/>
  <c r="H76" i="53"/>
  <c r="G180" i="1" l="1"/>
  <c r="D17" i="73"/>
  <c r="C17" i="73"/>
  <c r="B17" i="73"/>
  <c r="B11" i="73"/>
  <c r="C11" i="73"/>
  <c r="D11" i="73"/>
  <c r="E243" i="28" l="1"/>
  <c r="L243" i="28" s="1"/>
  <c r="B20" i="71" s="1"/>
  <c r="C243" i="28"/>
  <c r="A243" i="28"/>
  <c r="B2" i="71"/>
  <c r="W243" i="28" l="1"/>
  <c r="L253" i="28"/>
  <c r="D43" i="80" s="1"/>
  <c r="C253" i="28"/>
  <c r="A253" i="28"/>
  <c r="E257" i="28"/>
  <c r="F43" i="80" l="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C247" i="28"/>
  <c r="C246" i="28"/>
  <c r="A258" i="28"/>
  <c r="A257" i="28"/>
  <c r="A256" i="28"/>
  <c r="A255" i="28"/>
  <c r="A260" i="28"/>
  <c r="A259"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259" i="28"/>
  <c r="W193" i="28"/>
  <c r="W256" i="28"/>
  <c r="W251" i="28"/>
  <c r="L254" i="28"/>
  <c r="D51" i="80" s="1"/>
  <c r="F51" i="80" s="1"/>
  <c r="L259" i="28"/>
  <c r="L258" i="28"/>
  <c r="D29" i="80" s="1"/>
  <c r="F29" i="80" s="1"/>
  <c r="L260" i="28"/>
  <c r="L248" i="28"/>
  <c r="M47" i="80" s="1"/>
  <c r="L249" i="28"/>
  <c r="N47" i="80" s="1"/>
  <c r="L250" i="28"/>
  <c r="L256" i="28"/>
  <c r="L251" i="28"/>
  <c r="L257" i="28"/>
  <c r="D47" i="80" l="1"/>
  <c r="F41" i="80"/>
  <c r="F35" i="80"/>
  <c r="F305" i="42"/>
  <c r="G305" i="42"/>
  <c r="H305" i="42"/>
  <c r="I305" i="42"/>
  <c r="J305" i="42"/>
  <c r="K305" i="42"/>
  <c r="L305" i="42"/>
  <c r="M305" i="42"/>
  <c r="N305" i="42"/>
  <c r="O305" i="42"/>
  <c r="P305" i="42"/>
  <c r="Q305" i="42"/>
  <c r="R305" i="42"/>
  <c r="S305" i="42"/>
  <c r="T305" i="42"/>
  <c r="U305" i="42"/>
  <c r="V305" i="42"/>
  <c r="W305" i="42"/>
  <c r="X305" i="42"/>
  <c r="Y305" i="42"/>
  <c r="Z305" i="42"/>
  <c r="AA305" i="42"/>
  <c r="AB305" i="42"/>
  <c r="AC305" i="42"/>
  <c r="AD305" i="42"/>
  <c r="AE305" i="42"/>
  <c r="AF305" i="42"/>
  <c r="AG305" i="42"/>
  <c r="AH305" i="42"/>
  <c r="AI305" i="42"/>
  <c r="AJ305" i="42"/>
  <c r="AK305" i="42"/>
  <c r="AL305" i="42"/>
  <c r="AM305" i="42"/>
  <c r="AN305" i="42"/>
  <c r="AO305" i="42"/>
  <c r="AP305" i="42"/>
  <c r="AQ305" i="42"/>
  <c r="AR305" i="42"/>
  <c r="AS305" i="42"/>
  <c r="AT305" i="42"/>
  <c r="AU305" i="42"/>
  <c r="AV305" i="42"/>
  <c r="AW305" i="42"/>
  <c r="AX305" i="42"/>
  <c r="AY305" i="42"/>
  <c r="AZ305" i="42"/>
  <c r="BA305" i="42"/>
  <c r="BB305" i="42"/>
  <c r="BC305" i="42"/>
  <c r="BD305" i="42"/>
  <c r="BE305" i="42"/>
  <c r="BF305" i="42"/>
  <c r="BG305" i="42"/>
  <c r="BH305" i="42"/>
  <c r="BI305" i="42"/>
  <c r="BJ305" i="42"/>
  <c r="BK305" i="42"/>
  <c r="BL305" i="42"/>
  <c r="BM305" i="42"/>
  <c r="BN305" i="42"/>
  <c r="BO305" i="42"/>
  <c r="BP305" i="42"/>
  <c r="BQ305" i="42"/>
  <c r="BR305" i="42"/>
  <c r="BS305" i="42"/>
  <c r="E305" i="42"/>
  <c r="F303" i="42"/>
  <c r="G303" i="42"/>
  <c r="H303" i="42"/>
  <c r="I303" i="42"/>
  <c r="J303" i="42"/>
  <c r="K303" i="42"/>
  <c r="L303" i="42"/>
  <c r="M303" i="42"/>
  <c r="N303" i="42"/>
  <c r="O303" i="42"/>
  <c r="P303" i="42"/>
  <c r="Q303" i="42"/>
  <c r="R303" i="42"/>
  <c r="S303" i="42"/>
  <c r="T303" i="42"/>
  <c r="U303" i="42"/>
  <c r="V303" i="42"/>
  <c r="W303" i="42"/>
  <c r="X303" i="42"/>
  <c r="Y303" i="42"/>
  <c r="Z303" i="42"/>
  <c r="AA303" i="42"/>
  <c r="AB303" i="42"/>
  <c r="AC303" i="42"/>
  <c r="AD303" i="42"/>
  <c r="AE303" i="42"/>
  <c r="AF303" i="42"/>
  <c r="AG303" i="42"/>
  <c r="AH303" i="42"/>
  <c r="AI303" i="42"/>
  <c r="AJ303" i="42"/>
  <c r="AK303" i="42"/>
  <c r="AL303" i="42"/>
  <c r="AM303" i="42"/>
  <c r="AN303" i="42"/>
  <c r="AO303" i="42"/>
  <c r="AP303" i="42"/>
  <c r="AQ303" i="42"/>
  <c r="AR303" i="42"/>
  <c r="AS303" i="42"/>
  <c r="AT303" i="42"/>
  <c r="AU303" i="42"/>
  <c r="AV303" i="42"/>
  <c r="AW303" i="42"/>
  <c r="AX303" i="42"/>
  <c r="AY303" i="42"/>
  <c r="AZ303" i="42"/>
  <c r="BA303" i="42"/>
  <c r="BB303" i="42"/>
  <c r="BC303" i="42"/>
  <c r="BD303" i="42"/>
  <c r="BE303" i="42"/>
  <c r="BF303" i="42"/>
  <c r="BG303" i="42"/>
  <c r="BH303" i="42"/>
  <c r="BI303" i="42"/>
  <c r="BJ303" i="42"/>
  <c r="BK303" i="42"/>
  <c r="BL303" i="42"/>
  <c r="BM303" i="42"/>
  <c r="BN303" i="42"/>
  <c r="BO303" i="42"/>
  <c r="BP303" i="42"/>
  <c r="BQ303" i="42"/>
  <c r="BR303" i="42"/>
  <c r="BS303" i="42"/>
  <c r="E303" i="42"/>
  <c r="F302" i="42" l="1"/>
  <c r="G302" i="42"/>
  <c r="H302" i="42"/>
  <c r="I302" i="42"/>
  <c r="J302" i="42"/>
  <c r="K302" i="42"/>
  <c r="L302" i="42"/>
  <c r="M302" i="42"/>
  <c r="N302" i="42"/>
  <c r="O302" i="42"/>
  <c r="P302" i="42"/>
  <c r="Q302" i="42"/>
  <c r="R302" i="42"/>
  <c r="S302" i="42"/>
  <c r="T302" i="42"/>
  <c r="U302" i="42"/>
  <c r="V302" i="42"/>
  <c r="W302" i="42"/>
  <c r="X302" i="42"/>
  <c r="Y302" i="42"/>
  <c r="Z302" i="42"/>
  <c r="AA302" i="42"/>
  <c r="AB302" i="42"/>
  <c r="AC302" i="42"/>
  <c r="AD302" i="42"/>
  <c r="AE302" i="42"/>
  <c r="AF302" i="42"/>
  <c r="AG302" i="42"/>
  <c r="AH302" i="42"/>
  <c r="AI302" i="42"/>
  <c r="AJ302" i="42"/>
  <c r="AK302" i="42"/>
  <c r="AL302" i="42"/>
  <c r="AM302" i="42"/>
  <c r="AN302" i="42"/>
  <c r="AO302" i="42"/>
  <c r="AP302" i="42"/>
  <c r="AQ302" i="42"/>
  <c r="AR302" i="42"/>
  <c r="AS302" i="42"/>
  <c r="AT302" i="42"/>
  <c r="AU302" i="42"/>
  <c r="AV302" i="42"/>
  <c r="AW302" i="42"/>
  <c r="AX302" i="42"/>
  <c r="AY302" i="42"/>
  <c r="AZ302" i="42"/>
  <c r="BA302" i="42"/>
  <c r="BB302" i="42"/>
  <c r="BC302" i="42"/>
  <c r="BD302" i="42"/>
  <c r="BE302" i="42"/>
  <c r="BF302" i="42"/>
  <c r="BG302" i="42"/>
  <c r="BH302" i="42"/>
  <c r="BI302" i="42"/>
  <c r="BJ302" i="42"/>
  <c r="BK302" i="42"/>
  <c r="BL302" i="42"/>
  <c r="BM302" i="42"/>
  <c r="BN302" i="42"/>
  <c r="BO302" i="42"/>
  <c r="BP302" i="42"/>
  <c r="BQ302" i="42"/>
  <c r="BR302" i="42"/>
  <c r="BS302" i="42"/>
  <c r="E302" i="42"/>
  <c r="AX300"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E300" i="42"/>
  <c r="B2" i="73" l="1"/>
  <c r="C9" i="73" s="1"/>
  <c r="C8" i="73" l="1"/>
  <c r="C6" i="73"/>
  <c r="L14" i="73"/>
  <c r="L13" i="73"/>
  <c r="L20" i="73"/>
  <c r="L19" i="73"/>
  <c r="L18" i="73"/>
  <c r="L12" i="73"/>
  <c r="H28" i="53"/>
  <c r="E27"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4" i="28"/>
  <c r="L16" i="80"/>
  <c r="M13" i="80"/>
  <c r="M20" i="80"/>
  <c r="L24" i="80"/>
  <c r="L20" i="80"/>
  <c r="L14" i="80"/>
  <c r="D39" i="80"/>
  <c r="L23" i="80"/>
  <c r="L13" i="80"/>
  <c r="L17" i="80"/>
  <c r="L21" i="80"/>
  <c r="B3" i="71"/>
  <c r="B13" i="71"/>
  <c r="B3" i="73"/>
  <c r="Y266" i="28"/>
  <c r="B9" i="73" l="1"/>
  <c r="H39" i="80"/>
  <c r="F39" i="80"/>
  <c r="B24" i="80"/>
  <c r="B23" i="80"/>
  <c r="C23" i="80"/>
  <c r="C24" i="80"/>
  <c r="C16" i="80"/>
  <c r="C17" i="80"/>
  <c r="B16" i="80"/>
  <c r="B17" i="80"/>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BS298" i="42" l="1"/>
  <c r="BS299" i="42" s="1"/>
  <c r="BR298" i="42"/>
  <c r="BR299" i="42" s="1"/>
  <c r="BQ298" i="42"/>
  <c r="BQ299" i="42" s="1"/>
  <c r="BP298" i="42"/>
  <c r="BP299" i="42" s="1"/>
  <c r="BO298" i="42"/>
  <c r="BO299" i="42" s="1"/>
  <c r="BN298" i="42"/>
  <c r="BN299" i="42" s="1"/>
  <c r="BM298" i="42"/>
  <c r="BM299" i="42" s="1"/>
  <c r="BL298" i="42"/>
  <c r="BL299" i="42" s="1"/>
  <c r="BK298" i="42"/>
  <c r="BK299" i="42" s="1"/>
  <c r="BJ298" i="42"/>
  <c r="BJ299" i="42" s="1"/>
  <c r="BI298" i="42"/>
  <c r="BI299" i="42" s="1"/>
  <c r="BH298" i="42"/>
  <c r="BH299" i="42" s="1"/>
  <c r="BG298" i="42"/>
  <c r="BG299" i="42" s="1"/>
  <c r="BF298" i="42"/>
  <c r="BF299" i="42" s="1"/>
  <c r="BE298" i="42"/>
  <c r="BE299" i="42" s="1"/>
  <c r="BD298" i="42"/>
  <c r="BD299" i="42" s="1"/>
  <c r="BC298" i="42"/>
  <c r="BC299" i="42" s="1"/>
  <c r="BB298" i="42"/>
  <c r="BB299" i="42" s="1"/>
  <c r="BA298" i="42"/>
  <c r="BA299" i="42" s="1"/>
  <c r="AZ298" i="42"/>
  <c r="AZ299" i="42" s="1"/>
  <c r="AY298" i="42"/>
  <c r="AY299" i="42" s="1"/>
  <c r="AX298" i="42"/>
  <c r="AX299" i="42" s="1"/>
  <c r="AW298" i="42"/>
  <c r="AW299" i="42" s="1"/>
  <c r="AU298" i="42"/>
  <c r="AU299" i="42" s="1"/>
  <c r="AT298" i="42"/>
  <c r="AT299" i="42" s="1"/>
  <c r="AS298" i="42"/>
  <c r="AS299" i="42" s="1"/>
  <c r="AR298" i="42"/>
  <c r="AR299" i="42" s="1"/>
  <c r="AQ298" i="42"/>
  <c r="AQ299" i="42" s="1"/>
  <c r="AP298" i="42"/>
  <c r="AP299" i="42" s="1"/>
  <c r="AO298" i="42"/>
  <c r="AO299" i="42" s="1"/>
  <c r="AM298" i="42"/>
  <c r="AM299" i="42" s="1"/>
  <c r="AL298" i="42"/>
  <c r="AL299" i="42" s="1"/>
  <c r="AK298" i="42"/>
  <c r="AK299" i="42" s="1"/>
  <c r="AJ298" i="42"/>
  <c r="AJ299" i="42" s="1"/>
  <c r="AI298" i="42"/>
  <c r="AI299" i="42" s="1"/>
  <c r="AH298" i="42"/>
  <c r="AH299" i="42" s="1"/>
  <c r="AG298" i="42"/>
  <c r="AG299" i="42" s="1"/>
  <c r="AE298" i="42"/>
  <c r="AE299" i="42" s="1"/>
  <c r="AD298" i="42"/>
  <c r="AD299" i="42" s="1"/>
  <c r="AC298" i="42"/>
  <c r="AC299" i="42" s="1"/>
  <c r="AB298" i="42"/>
  <c r="AB299" i="42" s="1"/>
  <c r="AA298" i="42"/>
  <c r="AA299" i="42" s="1"/>
  <c r="Z298" i="42"/>
  <c r="Z299" i="42" s="1"/>
  <c r="Y298" i="42"/>
  <c r="Y299" i="42" s="1"/>
  <c r="W298" i="42"/>
  <c r="W299" i="42" s="1"/>
  <c r="V298" i="42"/>
  <c r="V299" i="42" s="1"/>
  <c r="U298" i="42"/>
  <c r="U299" i="42" s="1"/>
  <c r="T298" i="42"/>
  <c r="T299" i="42" s="1"/>
  <c r="S298" i="42"/>
  <c r="S299" i="42" s="1"/>
  <c r="R298" i="42"/>
  <c r="R299" i="42" s="1"/>
  <c r="Q298" i="42"/>
  <c r="Q299" i="42" s="1"/>
  <c r="O298" i="42"/>
  <c r="O299" i="42" s="1"/>
  <c r="N298" i="42"/>
  <c r="N299" i="42" s="1"/>
  <c r="M298" i="42"/>
  <c r="M299" i="42" s="1"/>
  <c r="L298" i="42"/>
  <c r="L299" i="42" s="1"/>
  <c r="K298" i="42"/>
  <c r="K299" i="42" s="1"/>
  <c r="J298" i="42"/>
  <c r="J299" i="42" s="1"/>
  <c r="I298" i="42"/>
  <c r="I299" i="42" s="1"/>
  <c r="G298" i="42"/>
  <c r="G299" i="42" s="1"/>
  <c r="F298" i="42"/>
  <c r="F299" i="42" s="1"/>
  <c r="H4" i="30"/>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N24" i="80" l="1"/>
  <c r="D24" i="80" s="1"/>
  <c r="F24" i="80" s="1"/>
  <c r="N23" i="80"/>
  <c r="D23" i="80" s="1"/>
  <c r="F23" i="80" s="1"/>
  <c r="M18" i="80"/>
  <c r="D37" i="80"/>
  <c r="F37" i="80" s="1"/>
  <c r="N16" i="80"/>
  <c r="D16" i="80" s="1"/>
  <c r="F16" i="80" s="1"/>
  <c r="N17" i="80"/>
  <c r="D17" i="80" s="1"/>
  <c r="F17" i="80" s="1"/>
  <c r="N14" i="80"/>
  <c r="L7" i="80"/>
  <c r="E9" i="80" s="1"/>
  <c r="M20" i="73"/>
  <c r="F20" i="73" s="1"/>
  <c r="M14" i="73"/>
  <c r="D14" i="73" s="1"/>
  <c r="D9" i="73"/>
  <c r="D8" i="73"/>
  <c r="M12" i="73"/>
  <c r="F12" i="73" s="1"/>
  <c r="F14" i="80" s="1"/>
  <c r="M19" i="73"/>
  <c r="D19" i="73" s="1"/>
  <c r="F19" i="73" s="1"/>
  <c r="G124" i="28"/>
  <c r="F124" i="28"/>
  <c r="K15" i="73"/>
  <c r="K5" i="73"/>
  <c r="E6" i="73" s="1"/>
  <c r="H298" i="42"/>
  <c r="H299" i="42" s="1"/>
  <c r="P298" i="42"/>
  <c r="P299" i="42" s="1"/>
  <c r="X298" i="42"/>
  <c r="X299" i="42" s="1"/>
  <c r="AF298" i="42"/>
  <c r="AF299" i="42" s="1"/>
  <c r="AN298" i="42"/>
  <c r="AN299" i="42" s="1"/>
  <c r="AV298" i="42"/>
  <c r="AV299" i="42" s="1"/>
  <c r="E298" i="42"/>
  <c r="E299" i="42"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F30" i="71"/>
  <c r="L295" i="28"/>
  <c r="J295" i="28"/>
  <c r="H32" i="30"/>
  <c r="F15" i="30"/>
  <c r="F18" i="30" s="1"/>
  <c r="F32" i="30"/>
  <c r="C22" i="30" l="1"/>
  <c r="F21" i="30"/>
  <c r="C21" i="30"/>
  <c r="F23" i="73" l="1"/>
</calcChain>
</file>

<file path=xl/sharedStrings.xml><?xml version="1.0" encoding="utf-8"?>
<sst xmlns="http://schemas.openxmlformats.org/spreadsheetml/2006/main" count="4515" uniqueCount="1834">
  <si>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</si>
  <si>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</si>
  <si>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</si>
  <si>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</si>
  <si>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</si>
  <si>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</si>
  <si>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</si>
  <si>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</si>
  <si>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</si>
  <si>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</si>
  <si>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</si>
  <si>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</si>
  <si>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</si>
  <si>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</si>
  <si>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</si>
  <si>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</si>
  <si>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</si>
  <si>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</si>
  <si>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</si>
  <si>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</si>
  <si>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</si>
  <si>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</si>
  <si>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</si>
  <si>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</si>
  <si>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</si>
  <si>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</si>
  <si>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</si>
  <si>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</si>
  <si>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</si>
  <si>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</si>
  <si>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</si>
  <si>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</si>
  <si>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</si>
  <si>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</si>
  <si>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</si>
  <si>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</si>
  <si>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</si>
  <si>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</si>
  <si>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</si>
  <si>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</si>
  <si>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</si>
  <si>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</si>
  <si>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</si>
  <si>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</si>
  <si>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</si>
  <si>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</si>
  <si>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</si>
  <si>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</si>
  <si>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</si>
  <si>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</si>
  <si>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</si>
  <si>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</si>
  <si>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</si>
  <si>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</si>
  <si>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</si>
  <si>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</si>
  <si>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</si>
  <si>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</si>
  <si>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</si>
  <si>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</si>
  <si>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</si>
  <si>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</si>
  <si>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</si>
  <si>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</si>
  <si>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</si>
  <si>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</si>
  <si>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</si>
  <si>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</si>
  <si>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</si>
  <si>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</si>
  <si>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</si>
  <si>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</si>
  <si>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</si>
  <si>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</si>
  <si>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</si>
  <si>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</si>
  <si>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</si>
  <si>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</si>
  <si>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</si>
  <si>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</si>
  <si>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</si>
  <si>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</si>
  <si>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</si>
  <si>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</si>
  <si>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</si>
  <si>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</si>
  <si>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</si>
  <si>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</si>
  <si>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</si>
  <si>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</si>
  <si>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</si>
  <si>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</si>
  <si>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</si>
  <si>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</si>
  <si>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</si>
  <si>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</si>
  <si>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</si>
  <si>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</si>
  <si>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</si>
  <si>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</si>
  <si>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</si>
  <si>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</si>
  <si>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</si>
  <si>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</si>
  <si>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</si>
  <si>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</si>
  <si>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</si>
  <si>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</si>
  <si>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</si>
  <si>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</si>
  <si>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</si>
  <si>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</si>
  <si>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</si>
  <si>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</si>
  <si>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</si>
  <si>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</si>
  <si>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</si>
  <si>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</si>
  <si>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</si>
  <si>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</si>
  <si>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</si>
  <si>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</si>
  <si>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</si>
  <si>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</si>
  <si>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</si>
  <si>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</si>
  <si>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</si>
  <si>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</si>
  <si>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</si>
  <si>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</si>
  <si>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</si>
  <si>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</si>
  <si>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</si>
  <si>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</si>
  <si>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</si>
  <si>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</si>
  <si>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</si>
  <si>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</si>
  <si>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</si>
  <si>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</si>
  <si>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</si>
  <si>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</si>
  <si>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</si>
  <si>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</si>
  <si>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</si>
  <si>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</si>
  <si>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</si>
  <si>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</si>
  <si>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</si>
  <si>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</si>
  <si>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</si>
  <si>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</si>
  <si>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</si>
  <si>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</si>
  <si>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</si>
  <si>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</si>
  <si>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</si>
  <si>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</si>
  <si>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</si>
  <si>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</si>
  <si>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</si>
  <si>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</si>
  <si>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</si>
  <si>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</si>
  <si>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</si>
  <si>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</si>
  <si>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</si>
  <si>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</si>
  <si>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</si>
  <si>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</si>
  <si>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</si>
  <si>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</si>
  <si>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</si>
  <si>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</si>
  <si>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</si>
  <si>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</si>
  <si>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</si>
  <si>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</si>
  <si>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</si>
  <si>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</si>
  <si>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</si>
  <si>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</si>
  <si>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</si>
  <si>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</si>
  <si>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</si>
  <si>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</si>
  <si>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</si>
  <si>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</si>
  <si>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</si>
  <si>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</si>
  <si>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</si>
  <si>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</si>
  <si>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</si>
  <si>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</si>
  <si>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</si>
  <si>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</si>
  <si>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</si>
  <si>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</si>
  <si>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</si>
  <si>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</si>
  <si>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</si>
  <si>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</si>
  <si>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</si>
  <si>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</si>
  <si>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</si>
  <si>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</si>
  <si>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</si>
  <si>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</si>
  <si>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</si>
  <si>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</si>
  <si>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</si>
  <si>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</si>
  <si>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</si>
  <si>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</si>
  <si>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</si>
  <si>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</si>
  <si>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</si>
  <si>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</si>
  <si>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</si>
  <si>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</si>
  <si>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</si>
  <si>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</si>
  <si>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</si>
  <si>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</si>
  <si>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</si>
  <si>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</si>
  <si>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</si>
  <si>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</si>
  <si>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</si>
  <si>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</si>
  <si>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</si>
  <si>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</si>
  <si>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</si>
  <si>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</si>
  <si>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</si>
  <si>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</si>
  <si>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</si>
  <si>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</si>
  <si>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</si>
  <si>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</si>
  <si>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</si>
  <si>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</si>
  <si>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</si>
  <si>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</si>
  <si>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</si>
  <si>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</si>
  <si>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</si>
  <si>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</si>
  <si>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</si>
  <si>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</si>
  <si>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</si>
  <si>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</si>
  <si>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</si>
  <si>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</si>
  <si>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</si>
  <si>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</si>
  <si>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</si>
  <si>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</si>
  <si>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</si>
  <si>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</si>
  <si>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</si>
  <si>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</si>
  <si>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</si>
  <si>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</si>
  <si>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</si>
  <si>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</si>
  <si>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</si>
  <si>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</si>
  <si>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</si>
  <si>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</si>
  <si>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</si>
  <si>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</si>
  <si>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</si>
  <si>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</si>
  <si>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</si>
  <si>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</si>
  <si>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</si>
  <si>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</si>
  <si>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</si>
  <si>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</si>
  <si>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</si>
  <si>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</si>
  <si>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</si>
  <si>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</si>
  <si>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</si>
  <si>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</si>
  <si>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</si>
  <si>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</si>
  <si>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</si>
  <si>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</si>
  <si>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</si>
  <si>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</si>
  <si>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</si>
  <si>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</si>
  <si>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</si>
  <si>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</si>
  <si>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</si>
  <si>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</si>
  <si>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</si>
  <si>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</si>
  <si>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</si>
  <si>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</si>
  <si>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</si>
  <si>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</si>
  <si>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</si>
  <si>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</si>
  <si>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</si>
  <si>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</si>
  <si>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</si>
  <si>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</si>
  <si>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</si>
  <si>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</si>
  <si>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</si>
  <si>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</si>
  <si>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</si>
  <si>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</si>
  <si>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</si>
  <si>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</si>
  <si>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</si>
  <si>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</si>
  <si>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</si>
  <si>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</si>
  <si>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</si>
  <si>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</si>
  <si>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</si>
  <si>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</si>
  <si>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</si>
  <si>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</si>
  <si>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</si>
  <si>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</si>
  <si>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</si>
  <si>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</si>
  <si>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</si>
  <si>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</si>
  <si>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</si>
  <si>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</si>
  <si>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</si>
  <si>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</si>
  <si>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</si>
  <si>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</si>
  <si>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</si>
  <si>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</si>
  <si>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</si>
  <si>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</si>
  <si>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</si>
  <si>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</si>
  <si>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</si>
  <si>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</si>
  <si>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</si>
  <si>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</si>
  <si>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</si>
  <si>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</si>
  <si>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</si>
  <si>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</si>
  <si>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</si>
  <si>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</si>
  <si>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</si>
  <si>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</si>
  <si>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</si>
  <si>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</si>
  <si>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</si>
  <si>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</si>
  <si>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</si>
  <si>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</si>
  <si>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</si>
  <si>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</si>
  <si>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</si>
  <si>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</si>
  <si>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</si>
  <si>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</si>
  <si>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</si>
  <si>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</si>
  <si>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</si>
  <si>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</si>
  <si>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</si>
  <si>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</si>
  <si>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</si>
  <si>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</si>
  <si>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</si>
  <si>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</si>
  <si>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</si>
  <si>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</si>
  <si>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</si>
  <si>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</si>
  <si>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</si>
  <si>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</si>
  <si>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</si>
  <si>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</si>
  <si>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</si>
  <si>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</si>
  <si>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</si>
  <si>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</si>
  <si>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</si>
  <si>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</si>
  <si>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</si>
  <si>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</si>
  <si>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</si>
  <si>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</si>
  <si>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</si>
  <si>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</si>
  <si>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</si>
  <si>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</si>
  <si>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</si>
  <si>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</si>
  <si>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</si>
  <si>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</si>
  <si>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</si>
  <si>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</si>
  <si>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</si>
  <si>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</si>
  <si>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</si>
  <si>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</si>
  <si>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</si>
  <si>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</si>
  <si>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</si>
  <si>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</si>
  <si>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</si>
  <si>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</si>
  <si>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</si>
  <si>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</si>
  <si>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</si>
  <si>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</si>
  <si>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</si>
  <si>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</si>
  <si>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</si>
  <si>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</si>
  <si>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</si>
  <si>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</si>
  <si>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</si>
  <si>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</si>
  <si>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</si>
  <si>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</si>
  <si>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</si>
  <si>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</si>
  <si>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</si>
  <si>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</si>
  <si>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</si>
  <si>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</si>
  <si>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</si>
  <si>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</si>
  <si>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</si>
  <si>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</si>
  <si>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</si>
  <si>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</si>
  <si>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</si>
  <si>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</si>
  <si>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</si>
  <si>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</si>
  <si>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</si>
  <si>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</si>
  <si>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</si>
  <si>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</si>
  <si>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</si>
  <si>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</si>
  <si>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</si>
  <si>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</si>
  <si>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</si>
  <si>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</si>
  <si>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</si>
  <si>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</si>
  <si>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</si>
  <si>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</si>
  <si>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</si>
  <si>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</si>
  <si>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</si>
  <si>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</si>
  <si>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</si>
  <si>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</si>
  <si>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</si>
  <si>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</si>
  <si>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</si>
  <si>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</si>
  <si>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</si>
  <si>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</si>
  <si>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</si>
  <si>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</si>
  <si>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</si>
  <si>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</si>
  <si>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</si>
  <si>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</si>
  <si>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</si>
  <si>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</si>
  <si>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</si>
  <si>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</si>
  <si>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</si>
  <si>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</si>
  <si>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</si>
  <si>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</si>
  <si>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</si>
  <si>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</si>
  <si>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</si>
  <si>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</si>
  <si>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</si>
  <si>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</si>
  <si>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</si>
  <si>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</si>
  <si>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</si>
  <si>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</si>
  <si>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</si>
  <si>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</si>
  <si>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</si>
  <si>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</si>
  <si>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</si>
  <si>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</si>
  <si>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</si>
  <si>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</si>
  <si>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</si>
  <si>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</si>
  <si>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</si>
  <si>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</si>
  <si>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</si>
  <si>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</si>
  <si>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</si>
  <si>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</si>
  <si>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</si>
  <si>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</si>
  <si>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</si>
  <si>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</si>
  <si>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</si>
  <si>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</si>
  <si>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</si>
  <si>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</si>
  <si>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</si>
  <si>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</si>
  <si>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</si>
  <si>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</si>
  <si>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</si>
  <si>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</si>
  <si>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</si>
  <si>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</si>
  <si>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</si>
  <si>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</si>
  <si>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</si>
  <si>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</si>
  <si>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</si>
  <si>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</si>
  <si>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</si>
  <si>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</si>
  <si>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</si>
  <si>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</si>
  <si>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</si>
  <si>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</si>
  <si>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</si>
  <si>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</si>
  <si>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</si>
  <si>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</si>
  <si>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</si>
  <si>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</si>
  <si>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</si>
  <si>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</si>
  <si>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</si>
  <si>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</si>
  <si>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</si>
  <si>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</si>
  <si>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</si>
  <si>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</si>
  <si>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</si>
  <si>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</si>
  <si>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</si>
  <si>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</si>
  <si>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</si>
  <si>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</si>
  <si>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</si>
  <si>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</si>
  <si>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</si>
  <si>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</si>
  <si>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</si>
  <si>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</si>
  <si>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</si>
  <si>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</si>
  <si>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</si>
  <si>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</si>
  <si>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</si>
  <si>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</si>
  <si>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</si>
  <si>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</si>
  <si>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</si>
  <si>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</si>
  <si>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</si>
  <si>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</si>
  <si>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</si>
  <si>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</si>
  <si>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</si>
  <si>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</si>
  <si>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</si>
  <si>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</si>
  <si>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</si>
  <si>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</si>
  <si>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</si>
  <si>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</si>
  <si>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</si>
  <si>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</si>
  <si>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</si>
  <si>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</si>
  <si>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</si>
  <si>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</si>
  <si>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</si>
  <si>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</si>
  <si>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</si>
  <si>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</si>
  <si>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</si>
  <si>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</si>
  <si>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</si>
  <si>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</si>
  <si>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</si>
  <si>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</si>
  <si>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</si>
  <si>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</si>
  <si>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</si>
  <si>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</si>
  <si>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</si>
  <si>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</si>
  <si>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</si>
  <si>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</si>
  <si>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</si>
  <si>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</si>
  <si>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</si>
  <si>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</si>
  <si>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</si>
  <si>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</si>
  <si>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</si>
  <si>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</si>
  <si>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</si>
  <si>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</si>
  <si>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</si>
  <si>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</si>
  <si>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</si>
  <si>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</si>
  <si>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</si>
  <si>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</si>
  <si>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</si>
  <si>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</si>
  <si>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</si>
  <si>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</si>
  <si>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</si>
  <si>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</si>
  <si>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</si>
  <si>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</si>
  <si>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</si>
  <si>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</si>
  <si>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</si>
  <si>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</si>
  <si>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</si>
  <si>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</si>
  <si>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</si>
  <si>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</si>
  <si>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</si>
  <si>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</si>
  <si>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</si>
  <si>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</si>
  <si>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</si>
  <si>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</si>
  <si>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</si>
  <si>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</si>
  <si>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</si>
  <si>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</si>
  <si>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</si>
  <si>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</si>
  <si>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</si>
  <si>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</si>
  <si>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</si>
  <si>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</si>
  <si>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</si>
  <si>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</si>
  <si>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</si>
  <si>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</si>
  <si>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</si>
  <si>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</si>
  <si>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</si>
  <si>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</si>
  <si>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</si>
  <si>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</si>
  <si>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</si>
  <si>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</si>
  <si>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</si>
  <si>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</si>
  <si>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</si>
  <si>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</si>
  <si>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</si>
  <si>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</si>
  <si>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</si>
  <si>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</si>
  <si>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</si>
  <si>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</si>
  <si>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</si>
  <si>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</si>
  <si>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</si>
  <si>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</si>
  <si>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</si>
  <si>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</si>
  <si>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</si>
  <si>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</si>
  <si>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</si>
  <si>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</si>
  <si>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</si>
  <si>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</si>
  <si>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</si>
  <si>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</si>
  <si>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</si>
  <si>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</si>
  <si>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</si>
  <si>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</si>
  <si>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</si>
  <si>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
  </si>
  <si>
    <t>If you have LEO pension assets and are reporting under GASB 68 please enter "Plan Fiduciary Net Position" which can be found on your RSI schedules.</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</si>
  <si>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</si>
  <si>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</si>
  <si>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</si>
  <si>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</si>
  <si>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</si>
  <si>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</si>
  <si>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</si>
  <si>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</si>
  <si>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</si>
  <si>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</si>
  <si>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</si>
  <si>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</si>
  <si>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</si>
  <si>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</si>
  <si>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</si>
  <si>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</si>
  <si>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</si>
  <si>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</si>
  <si>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</si>
  <si>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</si>
  <si>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</si>
  <si>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</si>
  <si>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</si>
  <si>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</si>
  <si>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</si>
  <si>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</si>
  <si>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</si>
  <si>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</si>
  <si>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</si>
  <si>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</si>
  <si>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</si>
  <si>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</si>
  <si>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</si>
  <si>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</si>
  <si>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</si>
  <si>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</si>
  <si>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</si>
  <si>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</si>
  <si>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</si>
  <si>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</si>
  <si>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</si>
  <si>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</si>
  <si>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</si>
  <si>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</si>
  <si>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</si>
  <si>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</si>
  <si>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</si>
  <si>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</si>
  <si>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</si>
  <si>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</si>
  <si>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</si>
  <si>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</si>
  <si>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</si>
  <si>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</si>
  <si>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</si>
  <si>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</si>
  <si>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</si>
  <si>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</si>
  <si>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</si>
  <si>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</si>
  <si>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</si>
  <si>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</si>
  <si>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</si>
  <si>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</si>
  <si>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</si>
  <si>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</si>
  <si>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</si>
  <si>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</si>
  <si>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</si>
  <si>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</si>
  <si>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</si>
  <si>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</si>
  <si>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</si>
  <si>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</si>
  <si>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</si>
  <si>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</si>
  <si>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</si>
  <si>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</si>
  <si>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</si>
  <si>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</si>
  <si>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</si>
  <si>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</si>
  <si>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</si>
  <si>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</si>
  <si>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</si>
  <si>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44-510</t>
  </si>
  <si>
    <t>WS Current asset</t>
  </si>
  <si>
    <t>(506+536-4-5-6)+647/(532+20+509-533-508)</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</si>
  <si>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</si>
  <si>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</si>
  <si>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</si>
  <si>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</si>
  <si>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</si>
  <si>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</si>
  <si>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</si>
  <si>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</si>
  <si>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</si>
  <si>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</si>
  <si>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</si>
  <si>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</si>
  <si>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</si>
  <si>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</si>
  <si>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</si>
  <si>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</si>
  <si>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</si>
  <si>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</si>
  <si>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</si>
  <si>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</si>
  <si>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</si>
  <si>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</si>
  <si>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</si>
  <si>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</si>
  <si>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</si>
  <si>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</si>
  <si>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</si>
  <si>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</si>
  <si>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</si>
  <si>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</si>
  <si>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</si>
  <si>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</si>
  <si>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</si>
  <si>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</si>
  <si>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</si>
  <si>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</si>
  <si>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</si>
  <si>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</si>
  <si>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</si>
  <si>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</si>
  <si>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</si>
  <si>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</si>
  <si>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</si>
  <si>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</si>
  <si>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</si>
  <si>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</si>
  <si>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</si>
  <si>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</si>
  <si>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</si>
  <si>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</si>
  <si>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</si>
  <si>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</si>
  <si>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</si>
  <si>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</si>
  <si>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</si>
  <si>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</si>
  <si>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</si>
  <si>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</si>
  <si>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</si>
  <si>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</si>
  <si>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</si>
  <si>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</si>
  <si>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</si>
  <si>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</si>
  <si>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</si>
  <si>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</si>
  <si>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</si>
  <si>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</si>
  <si>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</si>
  <si>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</si>
  <si>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</si>
  <si>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</si>
  <si>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</si>
  <si>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</si>
  <si>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</si>
  <si>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</si>
  <si>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</si>
  <si>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</si>
  <si>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</si>
  <si>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</si>
  <si>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</si>
  <si>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</si>
  <si>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</si>
  <si>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</si>
  <si>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</si>
  <si>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</si>
  <si>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</si>
  <si>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</si>
  <si>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</si>
  <si>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</si>
  <si>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</si>
  <si>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</si>
  <si>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</si>
  <si>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</si>
  <si>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</si>
  <si>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</si>
  <si>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</si>
  <si>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</si>
  <si>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</si>
  <si>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</si>
  <si>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</si>
  <si>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</si>
  <si>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</si>
  <si>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</si>
  <si>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</si>
  <si>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</si>
  <si>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</si>
  <si>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</si>
  <si>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</si>
  <si>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</si>
  <si>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</si>
  <si>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</si>
  <si>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</si>
  <si>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</si>
  <si>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</si>
  <si>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</si>
  <si>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</si>
  <si>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</si>
  <si>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</si>
  <si>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</si>
  <si>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</si>
  <si>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</si>
  <si>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</si>
  <si>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</si>
  <si>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</si>
  <si>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</si>
  <si>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</si>
  <si>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</si>
  <si>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</si>
  <si>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</si>
  <si>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</si>
  <si>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</si>
  <si>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</si>
  <si>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</si>
  <si>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</si>
  <si>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</si>
  <si>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</si>
  <si>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</si>
  <si>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</si>
  <si>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</si>
  <si>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</si>
  <si>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</si>
  <si>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</si>
  <si>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</si>
  <si>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</si>
  <si>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</si>
  <si>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</si>
  <si>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</si>
  <si>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</si>
  <si>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</si>
  <si>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</si>
  <si>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</si>
  <si>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</si>
  <si>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</si>
  <si>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</si>
  <si>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</si>
  <si>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</si>
  <si>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</si>
  <si>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</si>
  <si>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</si>
  <si>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</si>
  <si>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</si>
  <si>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</si>
  <si>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</si>
  <si>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</si>
  <si>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</si>
  <si>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</si>
  <si>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</si>
  <si>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</si>
  <si>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</si>
  <si>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</si>
  <si>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</si>
  <si>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</si>
  <si>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</si>
  <si>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</si>
  <si>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</si>
  <si>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</si>
  <si>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</si>
  <si>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</si>
  <si>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</si>
  <si>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</si>
  <si>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</si>
  <si>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</si>
  <si>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</si>
  <si>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</si>
  <si>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</si>
  <si>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</si>
  <si>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</si>
  <si>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</si>
  <si>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</si>
  <si>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</si>
  <si>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</si>
  <si>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</si>
  <si>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</si>
  <si>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</si>
  <si>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</si>
  <si>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</si>
  <si>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</si>
  <si>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</si>
  <si>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</si>
  <si>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</si>
  <si>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</si>
  <si>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</si>
  <si>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</si>
  <si>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</si>
  <si>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</si>
  <si>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</si>
  <si>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</si>
  <si>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</si>
  <si>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</si>
  <si>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</si>
  <si>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</si>
  <si>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</si>
  <si>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</si>
  <si>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</si>
  <si>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</si>
  <si>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</si>
  <si>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</si>
  <si>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</si>
  <si>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</si>
  <si>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</si>
  <si>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</si>
  <si>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</si>
  <si>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</si>
  <si>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</si>
  <si>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</si>
  <si>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</si>
  <si>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</si>
  <si>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</si>
  <si>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</si>
  <si>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</si>
  <si>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</si>
  <si>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</si>
  <si>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</si>
  <si>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</si>
  <si>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</si>
  <si>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</si>
  <si>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</si>
  <si>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</si>
  <si>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</si>
  <si>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</si>
  <si>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</si>
  <si>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</si>
  <si>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</si>
  <si>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</si>
  <si>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</si>
  <si>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</si>
  <si>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</si>
  <si>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</si>
  <si>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</si>
  <si>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</si>
  <si>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</si>
  <si>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</si>
  <si>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</si>
  <si>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</si>
  <si>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</si>
  <si>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</si>
  <si>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</si>
  <si>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</si>
  <si>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</si>
  <si>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</si>
  <si>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</si>
  <si>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</si>
  <si>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</si>
  <si>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</si>
  <si>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</si>
  <si>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</si>
  <si>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</si>
  <si>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</si>
  <si>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</si>
  <si>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</si>
  <si>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</si>
  <si>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</si>
  <si>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</si>
  <si>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</si>
  <si>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</si>
  <si>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</si>
  <si>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</si>
  <si>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</si>
  <si>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</si>
  <si>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</si>
  <si>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</si>
  <si>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</si>
  <si>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</si>
  <si>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</si>
  <si>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</si>
  <si>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</si>
  <si>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</si>
  <si>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</si>
  <si>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</si>
  <si>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</si>
  <si>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</si>
  <si>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</si>
  <si>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</si>
  <si>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</si>
  <si>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</si>
  <si>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</si>
  <si>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+row295/CCH45</t>
  </si>
  <si>
    <t>Unrestricted cash / Total expenses less depreciation+depbt service principal</t>
  </si>
  <si>
    <t>Unit data from Audit Worksheet tab ; 84-85-49+331</t>
  </si>
  <si>
    <t>Unit Data from Audit worksheet tab : 80/(85+351-49+331)</t>
  </si>
  <si>
    <t>Elec  Quick Ratio</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</si>
  <si>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</si>
  <si>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</si>
  <si>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</si>
  <si>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</si>
  <si>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</si>
  <si>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</si>
  <si>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</si>
  <si>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</si>
  <si>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47-511/48</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</si>
  <si>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</si>
  <si>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</si>
  <si>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</si>
  <si>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</si>
  <si>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</si>
  <si>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</si>
  <si>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</si>
  <si>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</si>
  <si>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</si>
  <si>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</si>
  <si>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</si>
  <si>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</si>
  <si>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</si>
  <si>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</si>
  <si>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</si>
  <si>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</si>
  <si>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</si>
  <si>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</si>
  <si>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</si>
  <si>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</si>
  <si>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</si>
  <si>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</si>
  <si>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</si>
  <si>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</si>
  <si>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</si>
  <si>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</si>
  <si>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</si>
  <si>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</si>
  <si>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</si>
  <si>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</si>
  <si>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</si>
  <si>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</si>
  <si>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</si>
  <si>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</si>
  <si>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</si>
  <si>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</si>
  <si>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</si>
  <si>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</si>
  <si>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</si>
  <si>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</si>
  <si>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</si>
  <si>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</si>
  <si>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</si>
  <si>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</si>
  <si>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</si>
  <si>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</si>
  <si>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</si>
  <si>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</si>
  <si>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</si>
  <si>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</si>
  <si>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</si>
  <si>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</si>
  <si>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</si>
  <si>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</si>
  <si>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</si>
  <si>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</si>
  <si>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</si>
  <si>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</si>
  <si>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</si>
  <si>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</si>
  <si>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</si>
  <si>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</si>
  <si>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</si>
  <si>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</si>
  <si>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</si>
  <si>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</si>
  <si>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</si>
  <si>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</si>
  <si>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</si>
  <si>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</si>
  <si>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</si>
  <si>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</si>
  <si>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</si>
  <si>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</si>
  <si>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</si>
  <si>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</si>
  <si>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</si>
  <si>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</si>
  <si>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</si>
  <si>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</si>
  <si>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</si>
  <si>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</si>
  <si>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</si>
  <si>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</si>
  <si>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</si>
  <si>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</si>
  <si>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</si>
  <si>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</si>
  <si>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</si>
  <si>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</si>
  <si>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</si>
  <si>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</si>
  <si>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</si>
  <si>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</si>
  <si>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</si>
  <si>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</si>
  <si>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</si>
  <si>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</si>
  <si>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</si>
  <si>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</si>
  <si>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</si>
  <si>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</si>
  <si>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</si>
  <si>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</si>
  <si>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</si>
  <si>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</si>
  <si>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</si>
  <si>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</si>
  <si>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</si>
  <si>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</si>
  <si>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</si>
  <si>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</si>
  <si>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</si>
  <si>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</si>
  <si>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</si>
  <si>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</si>
  <si>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</si>
  <si>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</si>
  <si>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</si>
  <si>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</si>
  <si>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</si>
  <si>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</si>
  <si>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</si>
  <si>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</si>
  <si>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</si>
  <si>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</si>
  <si>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</si>
  <si>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</si>
  <si>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</si>
  <si>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</si>
  <si>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</si>
  <si>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</si>
  <si>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</si>
  <si>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</si>
  <si>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</si>
  <si>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</si>
  <si>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</si>
  <si>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</si>
  <si>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</si>
  <si>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</si>
  <si>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</si>
  <si>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</si>
  <si>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</si>
  <si>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</si>
  <si>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</si>
  <si>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</si>
  <si>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</si>
  <si>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</si>
  <si>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</si>
  <si>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</si>
  <si>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</si>
  <si>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</si>
  <si>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</si>
  <si>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</si>
  <si>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</si>
  <si>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</si>
  <si>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</si>
  <si>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</si>
  <si>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</si>
  <si>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</si>
  <si>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</si>
  <si>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93-94+52-100</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</si>
  <si>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</si>
  <si>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</si>
  <si>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</si>
  <si>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</si>
  <si>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</si>
  <si>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</si>
  <si>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</si>
  <si>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</si>
  <si>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</si>
  <si>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</si>
  <si>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</si>
  <si>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</si>
  <si>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</si>
  <si>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</si>
  <si>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</si>
  <si>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</si>
  <si>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</si>
  <si>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</si>
  <si>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</si>
  <si>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</si>
  <si>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</si>
  <si>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</si>
  <si>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</si>
  <si>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</si>
  <si>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</si>
  <si>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</si>
  <si>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</si>
  <si>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</si>
  <si>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</si>
  <si>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</si>
  <si>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</si>
  <si>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</si>
  <si>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</si>
  <si>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</si>
  <si>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</si>
  <si>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</si>
  <si>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</si>
  <si>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</si>
  <si>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</si>
  <si>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</si>
  <si>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</si>
  <si>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</si>
  <si>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</si>
  <si>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</si>
  <si>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</si>
  <si>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</si>
  <si>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</si>
  <si>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</si>
  <si>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</si>
  <si>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</si>
  <si>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</si>
  <si>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</si>
  <si>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</si>
  <si>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</si>
  <si>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</si>
  <si>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</si>
  <si>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</si>
  <si>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</si>
  <si>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</si>
  <si>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</si>
  <si>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</si>
  <si>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</si>
  <si>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</si>
  <si>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</si>
  <si>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</si>
  <si>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</si>
  <si>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</si>
  <si>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</si>
  <si>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</si>
  <si>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</si>
  <si>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</si>
  <si>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</si>
  <si>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</si>
  <si>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</si>
  <si>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</si>
  <si>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</si>
  <si>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</si>
  <si>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</si>
  <si>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</si>
  <si>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</si>
  <si>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</si>
  <si>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</si>
  <si>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</si>
  <si>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</si>
  <si>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</si>
  <si>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</si>
  <si>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</si>
  <si>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</si>
  <si>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</si>
  <si>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</si>
  <si>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</si>
  <si>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</si>
  <si>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</si>
  <si>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</si>
  <si>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</si>
  <si>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</si>
  <si>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</si>
  <si>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</si>
  <si>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</si>
  <si>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</si>
  <si>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</si>
  <si>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</si>
  <si>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</si>
  <si>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</si>
  <si>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</si>
  <si>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</si>
  <si>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</si>
  <si>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</si>
  <si>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</si>
  <si>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</si>
  <si>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</si>
  <si>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</si>
  <si>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</si>
  <si>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</si>
  <si>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</si>
  <si>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</si>
  <si>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</si>
  <si>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</si>
  <si>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</si>
  <si>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</si>
  <si>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</si>
  <si>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</si>
  <si>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</si>
  <si>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</si>
  <si>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</si>
  <si>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</si>
  <si>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</si>
  <si>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</si>
  <si>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</si>
  <si>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</si>
  <si>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</si>
  <si>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</si>
  <si>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</si>
  <si>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</si>
  <si>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</si>
  <si>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</si>
  <si>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</si>
  <si>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</si>
  <si>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</si>
  <si>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</si>
  <si>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</si>
  <si>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</si>
  <si>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</si>
  <si>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</si>
  <si>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</si>
  <si>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</si>
  <si>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</si>
  <si>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</si>
  <si>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</si>
  <si>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</si>
  <si>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</si>
  <si>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</si>
  <si>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</si>
  <si>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</si>
  <si>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</si>
  <si>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</si>
  <si>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</si>
  <si>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</si>
  <si>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</si>
  <si>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</si>
  <si>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</si>
  <si>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</si>
  <si>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</si>
  <si>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</si>
  <si>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</si>
  <si>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</si>
  <si>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</si>
  <si>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</si>
  <si>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</si>
  <si>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</si>
  <si>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</si>
  <si>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</si>
  <si>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</si>
  <si>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</si>
  <si>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</si>
  <si>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</si>
  <si>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</si>
  <si>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</si>
  <si>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</si>
  <si>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</si>
  <si>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</si>
  <si>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</si>
  <si>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</si>
  <si>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</si>
  <si>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</si>
  <si>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</si>
  <si>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</si>
  <si>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</si>
  <si>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</si>
  <si>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</si>
  <si>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</si>
  <si>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</si>
  <si>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</si>
  <si>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</si>
  <si>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</si>
  <si>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</si>
  <si>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</si>
  <si>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</si>
  <si>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</si>
  <si>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</si>
  <si>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</si>
  <si>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</si>
  <si>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</si>
  <si>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</si>
  <si>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</si>
  <si>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</si>
  <si>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</si>
  <si>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</si>
  <si>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</si>
  <si>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</si>
  <si>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</si>
  <si>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</si>
  <si>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</si>
  <si>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</si>
  <si>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</si>
  <si>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</si>
  <si>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</si>
  <si>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</si>
  <si>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</si>
  <si>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</si>
  <si>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</si>
  <si>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</si>
  <si>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</si>
  <si>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</si>
  <si>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</si>
  <si>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</si>
  <si>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</si>
  <si>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</si>
  <si>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</si>
  <si>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</si>
  <si>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</si>
  <si>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</si>
  <si>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</si>
  <si>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</si>
  <si>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</si>
  <si>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</si>
  <si>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</si>
  <si>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</si>
  <si>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</si>
  <si>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</si>
  <si>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</si>
  <si>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</si>
  <si>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</si>
  <si>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</si>
  <si>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</si>
  <si>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</si>
  <si>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</si>
  <si>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</si>
  <si>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</si>
  <si>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</si>
  <si>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</si>
  <si>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</si>
  <si>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</si>
  <si>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</si>
  <si>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</si>
  <si>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</si>
  <si>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</si>
  <si>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</si>
  <si>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</si>
  <si>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</si>
  <si>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</si>
  <si>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</si>
  <si>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</si>
  <si>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</si>
  <si>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</si>
  <si>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</si>
  <si>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</si>
  <si>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</si>
  <si>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</si>
  <si>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</si>
  <si>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</si>
  <si>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</si>
  <si>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</si>
  <si>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</si>
  <si>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</si>
  <si>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</si>
  <si>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</si>
  <si>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</si>
  <si>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</si>
  <si>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</si>
  <si>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</si>
  <si>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</si>
  <si>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</si>
  <si>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</si>
  <si>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</si>
  <si>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</si>
  <si>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</si>
  <si>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</si>
  <si>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</si>
  <si>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</si>
  <si>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</si>
  <si>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</si>
  <si>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</si>
  <si>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</si>
  <si>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</si>
  <si>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</si>
  <si>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</si>
  <si>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</si>
  <si>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</si>
  <si>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</si>
  <si>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</si>
  <si>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</si>
  <si>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</si>
  <si>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</si>
  <si>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</si>
  <si>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</si>
  <si>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</si>
  <si>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</si>
  <si>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</si>
  <si>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</si>
  <si>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</si>
  <si>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</si>
  <si>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</si>
  <si>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</si>
  <si>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</si>
  <si>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</si>
  <si>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</si>
  <si>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</si>
  <si>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</si>
  <si>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</si>
  <si>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</si>
  <si>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</si>
  <si>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</si>
  <si>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</si>
  <si>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</si>
  <si>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</si>
  <si>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</si>
  <si>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</si>
  <si>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</si>
  <si>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</si>
  <si>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</si>
  <si>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</si>
  <si>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</si>
  <si>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</si>
  <si>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</si>
  <si>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</si>
  <si>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</si>
  <si>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</si>
  <si>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</si>
  <si>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</si>
  <si>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</si>
  <si>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</si>
  <si>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</si>
  <si>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</si>
  <si>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</si>
  <si>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</si>
  <si>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</si>
  <si>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</si>
  <si>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</si>
  <si>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</si>
  <si>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</si>
  <si>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</si>
  <si>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</si>
  <si>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</si>
  <si>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</si>
  <si>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</si>
  <si>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</si>
  <si>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</si>
  <si>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</si>
  <si>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</si>
  <si>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</si>
  <si>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</si>
  <si>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</si>
  <si>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</si>
  <si>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</si>
  <si>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</si>
  <si>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</si>
  <si>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</si>
  <si>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</si>
  <si>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</si>
  <si>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</si>
  <si>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</si>
  <si>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</si>
  <si>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</si>
  <si>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</si>
  <si>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</si>
  <si>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</si>
  <si>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</si>
  <si>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</si>
  <si>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</si>
  <si>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</si>
  <si>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</si>
  <si>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</si>
  <si>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</si>
  <si>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</si>
  <si>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</si>
  <si>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</si>
  <si>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</si>
  <si>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</si>
  <si>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</si>
  <si>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</si>
  <si>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</si>
  <si>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</si>
  <si>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</si>
  <si>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</si>
  <si>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</si>
  <si>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</si>
  <si>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</si>
  <si>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</si>
  <si>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</si>
  <si>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</si>
  <si>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</si>
  <si>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</si>
  <si>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</si>
  <si>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</si>
  <si>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</si>
  <si>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</si>
  <si>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</si>
  <si>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</si>
  <si>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</si>
  <si>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</si>
  <si>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</si>
  <si>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</si>
  <si>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</si>
  <si>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</si>
  <si>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</si>
  <si>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</si>
  <si>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</si>
  <si>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</si>
  <si>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</si>
  <si>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</si>
  <si>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do not delete row</t>
  </si>
  <si>
    <t>total expenditures for FBA Calculation</t>
  </si>
  <si>
    <t xml:space="preserve"> 331+89 </t>
  </si>
  <si>
    <t>Electric Gross Capital Assets</t>
  </si>
  <si>
    <t xml:space="preserve">Performance Indicator Tab Target for FBA - County </t>
  </si>
  <si>
    <t>Please indicate if you expect your revaluation to increase, decrease, or no change.  If you are not listed please select N/A</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</si>
  <si>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</si>
  <si>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</si>
  <si>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</si>
  <si>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</si>
  <si>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</si>
  <si>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</si>
  <si>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</si>
  <si>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</si>
  <si>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</si>
  <si>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</si>
  <si>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</si>
  <si>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</si>
  <si>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</si>
  <si>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</si>
  <si>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</si>
  <si>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</si>
  <si>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</si>
  <si>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</si>
  <si>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</si>
  <si>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</si>
  <si>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</si>
  <si>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</si>
  <si>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</si>
  <si>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</si>
  <si>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</si>
  <si>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</si>
  <si>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</si>
  <si>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</si>
  <si>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</si>
  <si>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</si>
  <si>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</si>
  <si>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</si>
  <si>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</si>
  <si>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</si>
  <si>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</si>
  <si>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</si>
  <si>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</si>
  <si>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</si>
  <si>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</si>
  <si>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</si>
  <si>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</si>
  <si>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</si>
  <si>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</si>
  <si>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</si>
  <si>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</si>
  <si>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</si>
  <si>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</si>
  <si>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</si>
  <si>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</si>
  <si>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</si>
  <si>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</si>
  <si>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</si>
  <si>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</si>
  <si>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</si>
  <si>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</si>
  <si>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</si>
  <si>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</si>
  <si>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</si>
  <si>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</si>
  <si>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</si>
  <si>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</si>
  <si>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</si>
  <si>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</si>
  <si>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</si>
  <si>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</si>
  <si>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</si>
  <si>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</si>
  <si>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</si>
  <si>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</si>
  <si>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</si>
  <si>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</si>
  <si>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Data Import 2018</t>
  </si>
  <si>
    <t>used on upload template</t>
  </si>
  <si>
    <t>Willesboro</t>
  </si>
  <si>
    <t>GF- Powell Bill in FBA</t>
  </si>
  <si>
    <t>Hospital-EF- Change in Net Assets</t>
  </si>
  <si>
    <t>OPEB- Net OPEB obligation, ending</t>
  </si>
  <si>
    <t>OPEB- Annual Expenses</t>
  </si>
  <si>
    <t>#VALUE!</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</si>
  <si>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</si>
  <si>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</si>
  <si>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</si>
  <si>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</si>
  <si>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</si>
  <si>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</si>
  <si>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</si>
  <si>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</si>
  <si>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</si>
  <si>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</si>
  <si>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</si>
  <si>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</si>
  <si>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</si>
  <si>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</si>
  <si>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</si>
  <si>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</si>
  <si>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</si>
  <si>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Net OPEB Liability</t>
  </si>
  <si>
    <t>Data Import Year 2020</t>
  </si>
  <si>
    <t>replaced</t>
  </si>
  <si>
    <t>included in TD accounts</t>
  </si>
  <si>
    <t>not using in 2020</t>
  </si>
  <si>
    <t>Total Current assets as listed on the Electric Net Position Statement.</t>
  </si>
  <si>
    <t>TD - auditor</t>
  </si>
  <si>
    <t>TD -Internal</t>
  </si>
  <si>
    <t xml:space="preserve">                                                                 -  </t>
  </si>
  <si>
    <t xml:space="preserve">                                                                                    -  </t>
  </si>
  <si>
    <t>should equal to column E on 2021 DIW</t>
  </si>
  <si>
    <t>2020 Data(H)</t>
  </si>
  <si>
    <t>2019 Data(H)</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</si>
  <si>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</si>
  <si>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</si>
  <si>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</si>
  <si>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t>https://www.nctreasurer.com/links/state-and-local-government-finance/lgc/local-fiscal-management/annual-audit/submitting-your-0</t>
  </si>
  <si>
    <t>https://efc.sog.unc.edu/resource/north-carolina-water-and-wastewater-rates-dashboard/</t>
  </si>
  <si>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</si>
  <si>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</si>
  <si>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</si>
  <si>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</si>
  <si>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</si>
  <si>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</si>
  <si>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</si>
  <si>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</si>
  <si>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</si>
  <si>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</si>
  <si>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</si>
  <si>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</si>
  <si>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</si>
  <si>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</si>
  <si>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</si>
  <si>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</si>
  <si>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</si>
  <si>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</si>
  <si>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</si>
  <si>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</si>
  <si>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 xml:space="preserve">NC DEPARTMENT OF STATE TREASURER- STATE AND LOCAL GOVERNMENT FINANCE DIVISION
TD Info Completed by Auditor
</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</si>
  <si>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</si>
  <si>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t>Please do not enter prior's years beginning balance as an adjustment in column F.</t>
  </si>
  <si>
    <t>Formula in cell E250</t>
  </si>
  <si>
    <t>Formula in cell E251</t>
  </si>
  <si>
    <t>Version Date 8/19/2021</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</si>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</sst>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3"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1"/>
      <color indexed="8"/>
      <name val="Century Schoolbook"/>
      <family val="1"/>
    </font>
    <font>
      <sz val="9"/>
      <color theme="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color rgb="FFFF0000"/>
      <name val="Verdana"/>
      <family val="2"/>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rgb="FF00B0F0"/>
        <bgColor indexed="64"/>
      </patternFill>
    </fill>
  </fills>
  <borders count="1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right/>
      <top style="medium">
        <color indexed="22"/>
      </top>
      <bottom style="medium">
        <color indexed="8"/>
      </bottom>
      <diagonal/>
    </border>
    <border>
      <left/>
      <right/>
      <top style="thin">
        <color indexed="30"/>
      </top>
      <bottom/>
      <diagonal/>
    </border>
    <border>
      <left style="medium">
        <color auto="1"/>
      </left>
      <right style="medium">
        <color auto="1"/>
      </right>
      <top style="medium">
        <color auto="1"/>
      </top>
      <bottom style="medium">
        <color auto="1"/>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3172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70" fillId="0" borderId="0"/>
    <xf numFmtId="0" fontId="70" fillId="0" borderId="0"/>
    <xf numFmtId="0" fontId="69" fillId="0" borderId="0"/>
    <xf numFmtId="0" fontId="70" fillId="0" borderId="0"/>
    <xf numFmtId="0" fontId="70" fillId="0" borderId="0"/>
    <xf numFmtId="0" fontId="71" fillId="0" borderId="0"/>
    <xf numFmtId="0" fontId="7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11"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21" fillId="0" borderId="0"/>
    <xf numFmtId="0" fontId="34" fillId="0" borderId="0"/>
    <xf numFmtId="0" fontId="34" fillId="0" borderId="0"/>
    <xf numFmtId="0" fontId="34" fillId="0" borderId="0"/>
    <xf numFmtId="0" fontId="69"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11" fillId="0" borderId="0"/>
    <xf numFmtId="0" fontId="71" fillId="0" borderId="0"/>
    <xf numFmtId="0" fontId="71" fillId="0" borderId="0"/>
    <xf numFmtId="0" fontId="71" fillId="0" borderId="0"/>
    <xf numFmtId="0" fontId="71"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71" fillId="0" borderId="0"/>
    <xf numFmtId="0" fontId="34" fillId="0" borderId="0"/>
    <xf numFmtId="0" fontId="34" fillId="0" borderId="0"/>
    <xf numFmtId="0" fontId="34" fillId="0" borderId="0"/>
    <xf numFmtId="0" fontId="34"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70"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1"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70"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5" fillId="0" borderId="47" applyNumberFormat="0" applyFill="0" applyAlignment="0" applyProtection="0"/>
    <xf numFmtId="0" fontId="76" fillId="0" borderId="48" applyNumberFormat="0" applyFill="0" applyAlignment="0" applyProtection="0"/>
    <xf numFmtId="0" fontId="77" fillId="0" borderId="49" applyNumberFormat="0" applyFill="0" applyAlignment="0" applyProtection="0"/>
    <xf numFmtId="0" fontId="77" fillId="0" borderId="0" applyNumberFormat="0" applyFill="0" applyBorder="0" applyAlignment="0" applyProtection="0"/>
    <xf numFmtId="0" fontId="78" fillId="37" borderId="0" applyNumberFormat="0" applyBorder="0" applyAlignment="0" applyProtection="0"/>
    <xf numFmtId="0" fontId="79" fillId="38" borderId="0" applyNumberFormat="0" applyBorder="0" applyAlignment="0" applyProtection="0"/>
    <xf numFmtId="0" fontId="80" fillId="40" borderId="50" applyNumberFormat="0" applyAlignment="0" applyProtection="0"/>
    <xf numFmtId="0" fontId="81" fillId="41" borderId="51" applyNumberFormat="0" applyAlignment="0" applyProtection="0"/>
    <xf numFmtId="0" fontId="82" fillId="41" borderId="50" applyNumberFormat="0" applyAlignment="0" applyProtection="0"/>
    <xf numFmtId="0" fontId="83" fillId="0" borderId="52" applyNumberFormat="0" applyFill="0" applyAlignment="0" applyProtection="0"/>
    <xf numFmtId="0" fontId="84" fillId="42" borderId="53" applyNumberFormat="0" applyAlignment="0" applyProtection="0"/>
    <xf numFmtId="0" fontId="72" fillId="0" borderId="0" applyNumberFormat="0" applyFill="0" applyBorder="0" applyAlignment="0" applyProtection="0"/>
    <xf numFmtId="0" fontId="40" fillId="0" borderId="55" applyNumberFormat="0" applyFill="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4" fillId="39" borderId="0" applyNumberFormat="0" applyBorder="0" applyAlignment="0" applyProtection="0"/>
    <xf numFmtId="0" fontId="34" fillId="43" borderId="54" applyNumberFormat="0" applyFont="0" applyAlignment="0" applyProtection="0"/>
    <xf numFmtId="40" fontId="87" fillId="0" borderId="17">
      <alignment horizontal="right"/>
    </xf>
    <xf numFmtId="0" fontId="88" fillId="0" borderId="0">
      <alignment horizontal="left"/>
    </xf>
    <xf numFmtId="49" fontId="11" fillId="0" borderId="0"/>
    <xf numFmtId="0" fontId="88" fillId="0" borderId="0">
      <alignment horizontal="left"/>
    </xf>
    <xf numFmtId="177" fontId="87" fillId="0" borderId="17">
      <alignment horizontal="right"/>
    </xf>
    <xf numFmtId="49" fontId="87"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6" fillId="50" borderId="0">
      <alignment horizontal="right" vertical="center"/>
    </xf>
    <xf numFmtId="49" fontId="86" fillId="50" borderId="0">
      <alignment horizontal="left" vertical="center"/>
    </xf>
    <xf numFmtId="49" fontId="86" fillId="50" borderId="0">
      <alignment horizontal="center" vertical="center"/>
    </xf>
    <xf numFmtId="49" fontId="86" fillId="50" borderId="0">
      <alignment horizontal="center" vertical="center"/>
    </xf>
    <xf numFmtId="49" fontId="86" fillId="50" borderId="0">
      <alignment horizontal="right" vertical="center"/>
    </xf>
    <xf numFmtId="40" fontId="86" fillId="50" borderId="0">
      <alignment horizontal="right"/>
    </xf>
    <xf numFmtId="49" fontId="86"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6" fillId="50" borderId="0">
      <alignment horizontal="center" vertical="center"/>
    </xf>
    <xf numFmtId="49" fontId="86" fillId="50" borderId="0">
      <alignment horizontal="center" vertical="center"/>
    </xf>
    <xf numFmtId="177" fontId="86" fillId="50" borderId="0">
      <alignment horizontal="center" vertical="center"/>
    </xf>
    <xf numFmtId="49" fontId="86" fillId="50" borderId="0">
      <alignment horizontal="right"/>
    </xf>
    <xf numFmtId="40" fontId="87" fillId="0" borderId="19">
      <alignment horizontal="right"/>
    </xf>
    <xf numFmtId="0" fontId="88" fillId="0" borderId="0">
      <alignment horizontal="left"/>
    </xf>
    <xf numFmtId="49" fontId="11" fillId="0" borderId="0"/>
    <xf numFmtId="0" fontId="88" fillId="0" borderId="0">
      <alignment horizontal="left"/>
    </xf>
    <xf numFmtId="177" fontId="87" fillId="0" borderId="19">
      <alignment horizontal="right"/>
    </xf>
    <xf numFmtId="49" fontId="87" fillId="0" borderId="0">
      <alignment horizontal="right"/>
    </xf>
    <xf numFmtId="49" fontId="11" fillId="0" borderId="0"/>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7" fillId="51" borderId="0">
      <alignment horizontal="center" vertical="center"/>
    </xf>
    <xf numFmtId="49" fontId="11" fillId="51" borderId="0">
      <alignment horizontal="left" vertical="center"/>
    </xf>
    <xf numFmtId="49" fontId="87" fillId="51" borderId="0">
      <alignment horizontal="center" vertical="center"/>
    </xf>
    <xf numFmtId="0" fontId="87" fillId="52" borderId="0">
      <alignment horizontal="left"/>
    </xf>
    <xf numFmtId="49" fontId="11" fillId="0" borderId="0"/>
    <xf numFmtId="0" fontId="87" fillId="52" borderId="0">
      <alignment horizontal="left"/>
    </xf>
    <xf numFmtId="40" fontId="87" fillId="0" borderId="0">
      <alignment horizontal="right"/>
    </xf>
    <xf numFmtId="49" fontId="86" fillId="50" borderId="0"/>
    <xf numFmtId="49" fontId="86" fillId="50" borderId="0"/>
    <xf numFmtId="49" fontId="11" fillId="0" borderId="0"/>
    <xf numFmtId="0" fontId="89" fillId="53" borderId="0" applyFont="0" applyFill="0">
      <alignment horizontal="left" vertical="top" wrapText="1"/>
    </xf>
    <xf numFmtId="40" fontId="89" fillId="0" borderId="0"/>
    <xf numFmtId="40" fontId="89" fillId="0" borderId="0"/>
    <xf numFmtId="0" fontId="89" fillId="0" borderId="0">
      <alignment horizontal="left"/>
    </xf>
    <xf numFmtId="0" fontId="89" fillId="0" borderId="0">
      <alignment horizontal="center"/>
    </xf>
    <xf numFmtId="0" fontId="90" fillId="0" borderId="0">
      <alignment horizontal="center"/>
    </xf>
    <xf numFmtId="0" fontId="91" fillId="50" borderId="0">
      <alignment horizontal="left"/>
    </xf>
    <xf numFmtId="0" fontId="91" fillId="50" borderId="0">
      <alignment horizontal="left"/>
    </xf>
    <xf numFmtId="0" fontId="90" fillId="0" borderId="0">
      <alignment horizontal="center"/>
    </xf>
    <xf numFmtId="40" fontId="92" fillId="0" borderId="18"/>
    <xf numFmtId="40" fontId="92" fillId="0" borderId="18"/>
    <xf numFmtId="0" fontId="92" fillId="0" borderId="0"/>
    <xf numFmtId="0" fontId="92" fillId="0" borderId="0"/>
    <xf numFmtId="0" fontId="90" fillId="0" borderId="0">
      <alignment horizontal="center"/>
    </xf>
    <xf numFmtId="0" fontId="93" fillId="54" borderId="0">
      <alignment horizontal="left"/>
    </xf>
    <xf numFmtId="0" fontId="93" fillId="54" borderId="0">
      <alignment horizontal="left"/>
    </xf>
    <xf numFmtId="40" fontId="87" fillId="0" borderId="0">
      <alignment horizontal="right"/>
    </xf>
    <xf numFmtId="0" fontId="88" fillId="0" borderId="0">
      <alignment horizontal="left"/>
    </xf>
    <xf numFmtId="49" fontId="11" fillId="0" borderId="0"/>
    <xf numFmtId="0" fontId="88" fillId="0" borderId="0">
      <alignment horizontal="left"/>
    </xf>
    <xf numFmtId="177" fontId="87" fillId="0" borderId="0">
      <alignment horizontal="right"/>
    </xf>
    <xf numFmtId="49" fontId="87" fillId="0" borderId="0" applyBorder="0">
      <alignment horizontal="right"/>
    </xf>
    <xf numFmtId="0" fontId="11" fillId="0" borderId="0"/>
    <xf numFmtId="49" fontId="95" fillId="53" borderId="0">
      <alignment horizontal="left"/>
    </xf>
    <xf numFmtId="49" fontId="95" fillId="53" borderId="0">
      <alignment horizontal="left"/>
    </xf>
    <xf numFmtId="0" fontId="96" fillId="53" borderId="0">
      <alignment horizontal="left"/>
    </xf>
    <xf numFmtId="178" fontId="96" fillId="53" borderId="0">
      <alignment horizontal="left"/>
    </xf>
    <xf numFmtId="40" fontId="87" fillId="0" borderId="0">
      <alignment horizontal="right"/>
    </xf>
    <xf numFmtId="49" fontId="97" fillId="53" borderId="0">
      <alignment horizontal="left"/>
    </xf>
    <xf numFmtId="49" fontId="97" fillId="53" borderId="0">
      <alignment horizontal="left"/>
    </xf>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0" fontId="87" fillId="0" borderId="14">
      <alignment horizontal="right"/>
    </xf>
    <xf numFmtId="0" fontId="87" fillId="52" borderId="0">
      <alignment horizontal="left"/>
    </xf>
    <xf numFmtId="49" fontId="11" fillId="0" borderId="0"/>
    <xf numFmtId="0" fontId="87" fillId="52" borderId="0">
      <alignment horizontal="left"/>
    </xf>
    <xf numFmtId="177" fontId="87" fillId="0" borderId="14">
      <alignment horizontal="right"/>
    </xf>
    <xf numFmtId="49" fontId="87" fillId="0" borderId="0">
      <alignment horizontal="right"/>
    </xf>
    <xf numFmtId="0" fontId="92" fillId="0" borderId="0"/>
    <xf numFmtId="40" fontId="89" fillId="0" borderId="18"/>
    <xf numFmtId="40" fontId="89" fillId="0" borderId="18"/>
    <xf numFmtId="0" fontId="89" fillId="0" borderId="0"/>
    <xf numFmtId="0" fontId="89" fillId="0" borderId="0"/>
    <xf numFmtId="40" fontId="89" fillId="0" borderId="0"/>
    <xf numFmtId="179" fontId="89" fillId="0" borderId="0"/>
    <xf numFmtId="40" fontId="89" fillId="0" borderId="0"/>
    <xf numFmtId="0" fontId="89" fillId="0" borderId="0"/>
    <xf numFmtId="0" fontId="89" fillId="0" borderId="0"/>
    <xf numFmtId="40" fontId="87" fillId="0" borderId="18">
      <alignment horizontal="right"/>
    </xf>
    <xf numFmtId="49" fontId="87" fillId="0" borderId="0">
      <alignment horizontal="left"/>
    </xf>
    <xf numFmtId="49" fontId="11" fillId="0" borderId="0"/>
    <xf numFmtId="49" fontId="87" fillId="0" borderId="0">
      <alignment horizontal="left"/>
    </xf>
    <xf numFmtId="177" fontId="87" fillId="0" borderId="18">
      <alignment horizontal="right"/>
    </xf>
    <xf numFmtId="49" fontId="87"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8"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5" fillId="57" borderId="0" applyNumberFormat="0" applyBorder="0" applyAlignment="0" applyProtection="0"/>
    <xf numFmtId="0" fontId="99" fillId="57" borderId="0" applyNumberFormat="0" applyBorder="0" applyAlignment="0" applyProtection="0"/>
    <xf numFmtId="0" fontId="85" fillId="60" borderId="0" applyNumberFormat="0" applyBorder="0" applyAlignment="0" applyProtection="0"/>
    <xf numFmtId="0" fontId="99" fillId="60" borderId="0" applyNumberFormat="0" applyBorder="0" applyAlignment="0" applyProtection="0"/>
    <xf numFmtId="0" fontId="85" fillId="63" borderId="0" applyNumberFormat="0" applyBorder="0" applyAlignment="0" applyProtection="0"/>
    <xf numFmtId="0" fontId="99" fillId="63" borderId="0" applyNumberFormat="0" applyBorder="0" applyAlignment="0" applyProtection="0"/>
    <xf numFmtId="0" fontId="85" fillId="66" borderId="0" applyNumberFormat="0" applyBorder="0" applyAlignment="0" applyProtection="0"/>
    <xf numFmtId="0" fontId="99" fillId="66" borderId="0" applyNumberFormat="0" applyBorder="0" applyAlignment="0" applyProtection="0"/>
    <xf numFmtId="0" fontId="85" fillId="69" borderId="0" applyNumberFormat="0" applyBorder="0" applyAlignment="0" applyProtection="0"/>
    <xf numFmtId="0" fontId="99" fillId="69" borderId="0" applyNumberFormat="0" applyBorder="0" applyAlignment="0" applyProtection="0"/>
    <xf numFmtId="0" fontId="85" fillId="72" borderId="0" applyNumberFormat="0" applyBorder="0" applyAlignment="0" applyProtection="0"/>
    <xf numFmtId="0" fontId="99" fillId="72" borderId="0" applyNumberFormat="0" applyBorder="0" applyAlignment="0" applyProtection="0"/>
    <xf numFmtId="0" fontId="99" fillId="44"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9" borderId="0" applyNumberFormat="0" applyBorder="0" applyAlignment="0" applyProtection="0"/>
    <xf numFmtId="0" fontId="100" fillId="38" borderId="0" applyNumberFormat="0" applyBorder="0" applyAlignment="0" applyProtection="0"/>
    <xf numFmtId="0" fontId="101" fillId="41" borderId="50" applyNumberFormat="0" applyAlignment="0" applyProtection="0"/>
    <xf numFmtId="0" fontId="102"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0" borderId="47" applyNumberFormat="0" applyFill="0" applyAlignment="0" applyProtection="0"/>
    <xf numFmtId="0" fontId="106"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8" fillId="40" borderId="50" applyNumberFormat="0" applyAlignment="0" applyProtection="0"/>
    <xf numFmtId="0" fontId="109" fillId="0" borderId="52" applyNumberFormat="0" applyFill="0" applyAlignment="0" applyProtection="0"/>
    <xf numFmtId="0" fontId="110"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1" fillId="41" borderId="51" applyNumberFormat="0" applyAlignment="0" applyProtection="0"/>
    <xf numFmtId="9" fontId="6" fillId="0" borderId="0" applyFont="0" applyFill="0" applyBorder="0" applyAlignment="0" applyProtection="0"/>
    <xf numFmtId="0" fontId="112" fillId="0" borderId="0" applyNumberFormat="0" applyFill="0" applyBorder="0" applyAlignment="0" applyProtection="0"/>
    <xf numFmtId="0" fontId="113" fillId="0" borderId="55" applyNumberFormat="0" applyFill="0" applyAlignment="0" applyProtection="0"/>
    <xf numFmtId="0" fontId="114"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8" fillId="0" borderId="0"/>
    <xf numFmtId="0" fontId="11" fillId="0" borderId="0"/>
    <xf numFmtId="0" fontId="11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9" fillId="0" borderId="0"/>
    <xf numFmtId="43" fontId="117" fillId="0" borderId="0" applyFont="0" applyFill="0" applyBorder="0" applyAlignment="0" applyProtection="0"/>
    <xf numFmtId="0" fontId="117" fillId="0" borderId="0"/>
    <xf numFmtId="0" fontId="154" fillId="0" borderId="0"/>
    <xf numFmtId="0" fontId="34" fillId="0" borderId="0"/>
    <xf numFmtId="0" fontId="154" fillId="0" borderId="0"/>
    <xf numFmtId="43" fontId="117" fillId="0" borderId="0" applyFont="0" applyFill="0" applyBorder="0" applyAlignment="0" applyProtection="0"/>
    <xf numFmtId="0" fontId="117" fillId="0" borderId="0"/>
    <xf numFmtId="0" fontId="117" fillId="0" borderId="0"/>
    <xf numFmtId="0" fontId="117" fillId="0" borderId="0"/>
    <xf numFmtId="0" fontId="157" fillId="0" borderId="0"/>
    <xf numFmtId="0" fontId="157" fillId="0" borderId="0"/>
    <xf numFmtId="0" fontId="158" fillId="0" borderId="0"/>
    <xf numFmtId="0" fontId="157" fillId="0" borderId="0"/>
    <xf numFmtId="0" fontId="154" fillId="0" borderId="0"/>
    <xf numFmtId="0" fontId="157"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7" fillId="0" borderId="0"/>
    <xf numFmtId="0" fontId="154" fillId="0" borderId="0"/>
    <xf numFmtId="0" fontId="154" fillId="0" borderId="0"/>
    <xf numFmtId="0" fontId="157" fillId="0" borderId="0"/>
    <xf numFmtId="0" fontId="154" fillId="0" borderId="0"/>
    <xf numFmtId="0" fontId="154"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4" fillId="0" borderId="0"/>
    <xf numFmtId="0" fontId="158" fillId="0" borderId="0"/>
    <xf numFmtId="0" fontId="154"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9"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7" fillId="0" borderId="0"/>
    <xf numFmtId="43" fontId="117" fillId="0" borderId="0" applyFont="0" applyFill="0" applyBorder="0" applyAlignment="0" applyProtection="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cellStyleXfs>
  <cellXfs count="1340">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60"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1" fillId="0" borderId="25" xfId="0" applyNumberFormat="1" applyFont="1" applyFill="1" applyBorder="1" applyAlignment="1" applyProtection="1">
      <alignment horizontal="center" vertical="center"/>
    </xf>
    <xf numFmtId="0" fontId="62"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60"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0" fillId="0" borderId="0" xfId="0" applyFont="1" applyProtection="1"/>
    <xf numFmtId="0" fontId="60" fillId="23" borderId="23" xfId="0" applyNumberFormat="1" applyFont="1" applyFill="1" applyBorder="1" applyAlignment="1" applyProtection="1">
      <alignment horizontal="left" vertical="center" wrapText="1"/>
    </xf>
    <xf numFmtId="0" fontId="60"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0"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3"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4"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0"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5"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60" fillId="0" borderId="29" xfId="439" applyNumberFormat="1" applyFont="1" applyFill="1" applyBorder="1" applyAlignment="1" applyProtection="1">
      <alignment horizontal="center" vertical="center" wrapText="1"/>
    </xf>
    <xf numFmtId="39" fontId="60"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4"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60"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7" fillId="0" borderId="0" xfId="0" applyNumberFormat="1" applyFont="1" applyFill="1" applyAlignment="1" applyProtection="1">
      <alignment wrapText="1"/>
    </xf>
    <xf numFmtId="0" fontId="66"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60"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0" fillId="29" borderId="23" xfId="439" applyNumberFormat="1" applyFont="1" applyFill="1" applyBorder="1" applyAlignment="1" applyProtection="1">
      <alignment horizontal="center" vertical="center" wrapText="1"/>
      <protection locked="0"/>
    </xf>
    <xf numFmtId="37" fontId="61"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1"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0"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0"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0" fillId="0" borderId="29" xfId="439" applyNumberFormat="1" applyFont="1" applyFill="1" applyBorder="1" applyAlignment="1" applyProtection="1">
      <alignment horizontal="center" vertical="center" wrapText="1"/>
    </xf>
    <xf numFmtId="172" fontId="60"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0" fillId="29" borderId="44" xfId="439" applyNumberFormat="1" applyFont="1" applyFill="1" applyBorder="1" applyAlignment="1" applyProtection="1">
      <alignment horizontal="center" vertical="center" wrapText="1"/>
      <protection locked="0"/>
    </xf>
    <xf numFmtId="164" fontId="60" fillId="0" borderId="30" xfId="439" applyNumberFormat="1" applyFont="1" applyFill="1" applyBorder="1" applyAlignment="1" applyProtection="1">
      <alignment horizontal="center" vertical="center" wrapText="1"/>
    </xf>
    <xf numFmtId="39" fontId="60" fillId="0" borderId="27" xfId="439" applyNumberFormat="1" applyFont="1" applyFill="1" applyBorder="1" applyAlignment="1" applyProtection="1">
      <alignment horizontal="center" vertical="center" wrapText="1"/>
    </xf>
    <xf numFmtId="164" fontId="60"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0" fillId="29" borderId="45" xfId="439" applyNumberFormat="1" applyFont="1" applyFill="1" applyBorder="1" applyAlignment="1" applyProtection="1">
      <alignment horizontal="center" vertical="center" wrapText="1"/>
      <protection locked="0"/>
    </xf>
    <xf numFmtId="0" fontId="60" fillId="0" borderId="30" xfId="0" applyNumberFormat="1" applyFont="1" applyFill="1" applyBorder="1" applyAlignment="1" applyProtection="1">
      <alignment horizontal="left" vertical="center" wrapText="1"/>
    </xf>
    <xf numFmtId="0" fontId="60" fillId="23" borderId="31" xfId="0" applyNumberFormat="1" applyFont="1" applyFill="1" applyBorder="1" applyAlignment="1" applyProtection="1">
      <alignment horizontal="left" vertical="center" wrapText="1"/>
    </xf>
    <xf numFmtId="0" fontId="60"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2" fillId="0" borderId="0" xfId="0" applyNumberFormat="1" applyFont="1" applyFill="1" applyAlignment="1" applyProtection="1">
      <alignment horizontal="left" vertical="center" wrapText="1" indent="6"/>
    </xf>
    <xf numFmtId="0" fontId="60"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8" fillId="0" borderId="0" xfId="0" applyNumberFormat="1" applyFont="1" applyFill="1" applyAlignment="1" applyProtection="1">
      <alignment wrapText="1"/>
    </xf>
    <xf numFmtId="14" fontId="60"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60" fillId="22" borderId="23" xfId="439" applyNumberFormat="1" applyFont="1" applyFill="1" applyBorder="1" applyAlignment="1" applyProtection="1">
      <alignment horizontal="center" vertical="center" wrapText="1"/>
      <protection locked="0"/>
    </xf>
    <xf numFmtId="172" fontId="60" fillId="22" borderId="23" xfId="439" applyNumberFormat="1" applyFont="1" applyFill="1" applyBorder="1" applyAlignment="1" applyProtection="1">
      <alignment horizontal="center" vertical="center" wrapText="1"/>
    </xf>
    <xf numFmtId="39" fontId="60" fillId="22" borderId="28" xfId="439" applyNumberFormat="1" applyFont="1" applyFill="1" applyBorder="1" applyAlignment="1" applyProtection="1">
      <alignment horizontal="center" vertical="center" wrapText="1"/>
    </xf>
    <xf numFmtId="164" fontId="60"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60"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60" fillId="22" borderId="30" xfId="439" applyNumberFormat="1" applyFont="1" applyFill="1" applyBorder="1" applyAlignment="1" applyProtection="1">
      <alignment horizontal="center" vertical="center" wrapText="1"/>
    </xf>
    <xf numFmtId="175" fontId="60" fillId="75" borderId="23" xfId="439" applyNumberFormat="1" applyFont="1" applyFill="1" applyBorder="1" applyAlignment="1" applyProtection="1">
      <alignment horizontal="center" vertical="center" wrapText="1"/>
    </xf>
    <xf numFmtId="3" fontId="60" fillId="0" borderId="23" xfId="439" applyNumberFormat="1" applyFont="1" applyFill="1" applyBorder="1" applyAlignment="1" applyProtection="1">
      <alignment horizontal="center" vertical="center" wrapText="1"/>
      <protection locked="0"/>
    </xf>
    <xf numFmtId="180" fontId="60" fillId="75" borderId="23" xfId="439" applyNumberFormat="1" applyFont="1" applyFill="1" applyBorder="1" applyAlignment="1" applyProtection="1">
      <alignment horizontal="center" vertical="center" wrapText="1"/>
    </xf>
    <xf numFmtId="39" fontId="60" fillId="0" borderId="23" xfId="439" applyNumberFormat="1" applyFont="1" applyFill="1" applyBorder="1" applyAlignment="1" applyProtection="1">
      <alignment horizontal="center" vertical="center" wrapText="1"/>
    </xf>
    <xf numFmtId="3" fontId="60" fillId="0" borderId="31" xfId="439" applyNumberFormat="1" applyFont="1" applyFill="1" applyBorder="1" applyAlignment="1" applyProtection="1">
      <alignment horizontal="center" vertical="center" wrapText="1"/>
    </xf>
    <xf numFmtId="3" fontId="60" fillId="23" borderId="31" xfId="439" applyNumberFormat="1" applyFont="1" applyFill="1" applyBorder="1" applyAlignment="1" applyProtection="1">
      <alignment horizontal="center" vertical="center" wrapText="1"/>
    </xf>
    <xf numFmtId="3" fontId="60" fillId="23" borderId="23" xfId="439" applyNumberFormat="1" applyFont="1" applyFill="1" applyBorder="1" applyAlignment="1" applyProtection="1">
      <alignment horizontal="center" vertical="center" wrapText="1"/>
    </xf>
    <xf numFmtId="3" fontId="60" fillId="0" borderId="30" xfId="439" applyNumberFormat="1" applyFont="1" applyFill="1" applyBorder="1" applyAlignment="1" applyProtection="1">
      <alignment horizontal="center" vertical="center" wrapText="1"/>
    </xf>
    <xf numFmtId="37" fontId="60"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6"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4" fillId="22" borderId="0" xfId="0" applyFont="1" applyFill="1" applyProtection="1"/>
    <xf numFmtId="0" fontId="121" fillId="22" borderId="0" xfId="0" applyFont="1" applyFill="1" applyProtection="1"/>
    <xf numFmtId="0" fontId="85" fillId="22" borderId="0" xfId="0" applyFont="1" applyFill="1" applyAlignment="1" applyProtection="1">
      <alignment vertical="center" wrapText="1"/>
    </xf>
    <xf numFmtId="0" fontId="85" fillId="22" borderId="0" xfId="0" applyFont="1" applyFill="1" applyAlignment="1" applyProtection="1">
      <alignment vertical="center"/>
      <protection locked="0"/>
    </xf>
    <xf numFmtId="0" fontId="85" fillId="22" borderId="0" xfId="0" applyFont="1" applyFill="1" applyAlignment="1" applyProtection="1">
      <alignment vertical="center"/>
    </xf>
    <xf numFmtId="0" fontId="0" fillId="0" borderId="0" xfId="0" applyAlignment="1">
      <alignment horizontal="center"/>
    </xf>
    <xf numFmtId="0" fontId="85"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60"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2" fillId="73" borderId="0" xfId="0" applyFont="1" applyFill="1" applyAlignment="1">
      <alignment vertical="center" wrapText="1"/>
    </xf>
    <xf numFmtId="0" fontId="48" fillId="73" borderId="0" xfId="0" applyFont="1" applyFill="1" applyAlignment="1">
      <alignment horizontal="justify" vertical="center"/>
    </xf>
    <xf numFmtId="0" fontId="127" fillId="77" borderId="0" xfId="0" applyFont="1" applyFill="1" applyAlignment="1">
      <alignment vertical="center"/>
    </xf>
    <xf numFmtId="0" fontId="64" fillId="0" borderId="45" xfId="0" applyFont="1" applyFill="1" applyBorder="1" applyAlignment="1" applyProtection="1">
      <alignment horizontal="center" vertical="center" wrapText="1"/>
    </xf>
    <xf numFmtId="0" fontId="64" fillId="32" borderId="45" xfId="0" applyFont="1" applyFill="1" applyBorder="1" applyAlignment="1" applyProtection="1">
      <alignment horizontal="center" vertical="center" wrapText="1"/>
    </xf>
    <xf numFmtId="0" fontId="60"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60" fillId="0" borderId="23" xfId="439" applyNumberFormat="1" applyFont="1" applyFill="1" applyBorder="1" applyAlignment="1" applyProtection="1">
      <alignment horizontal="center" vertical="center" wrapText="1"/>
    </xf>
    <xf numFmtId="0" fontId="123" fillId="73" borderId="0" xfId="0" applyFont="1" applyFill="1" applyAlignment="1">
      <alignment horizontal="left" vertical="center" wrapText="1"/>
    </xf>
    <xf numFmtId="0" fontId="34" fillId="73" borderId="0" xfId="30098" applyFill="1"/>
    <xf numFmtId="0" fontId="126" fillId="77" borderId="0" xfId="30098" applyFont="1" applyFill="1" applyAlignment="1">
      <alignment horizontal="center" vertical="center" wrapText="1"/>
    </xf>
    <xf numFmtId="0" fontId="122" fillId="73" borderId="0" xfId="30098" applyFont="1" applyFill="1" applyAlignment="1">
      <alignment vertical="center" wrapText="1"/>
    </xf>
    <xf numFmtId="0" fontId="48" fillId="73" borderId="0" xfId="30098" applyFont="1" applyFill="1" applyAlignment="1">
      <alignment vertical="center" wrapText="1"/>
    </xf>
    <xf numFmtId="0" fontId="127" fillId="77" borderId="0" xfId="30098" applyFont="1" applyFill="1" applyAlignment="1">
      <alignment vertical="center"/>
    </xf>
    <xf numFmtId="0" fontId="130" fillId="0" borderId="0" xfId="30099" applyFont="1" applyAlignment="1">
      <alignment horizontal="left" vertical="top"/>
    </xf>
    <xf numFmtId="0" fontId="132" fillId="0" borderId="0" xfId="30099" applyFont="1" applyAlignment="1">
      <alignment horizontal="left" vertical="top"/>
    </xf>
    <xf numFmtId="0" fontId="130" fillId="36" borderId="0" xfId="30099" applyFont="1" applyFill="1" applyAlignment="1">
      <alignment horizontal="left" vertical="top"/>
    </xf>
    <xf numFmtId="0" fontId="132" fillId="0" borderId="0" xfId="30099" applyFont="1" applyAlignment="1">
      <alignment vertical="top"/>
    </xf>
    <xf numFmtId="0" fontId="130" fillId="0" borderId="0" xfId="30099" applyFont="1" applyAlignment="1">
      <alignment vertical="top"/>
    </xf>
    <xf numFmtId="0" fontId="132" fillId="79" borderId="13" xfId="30099" applyFont="1" applyFill="1" applyBorder="1" applyAlignment="1">
      <alignment horizontal="left" vertical="top"/>
    </xf>
    <xf numFmtId="0" fontId="132" fillId="79" borderId="16" xfId="30099" applyFont="1" applyFill="1" applyBorder="1" applyAlignment="1">
      <alignment horizontal="left" vertical="top"/>
    </xf>
    <xf numFmtId="164" fontId="137" fillId="79" borderId="16" xfId="30100" applyNumberFormat="1" applyFont="1" applyFill="1" applyBorder="1" applyAlignment="1">
      <alignment vertical="center"/>
    </xf>
    <xf numFmtId="0" fontId="138" fillId="79" borderId="16" xfId="30099" applyFont="1" applyFill="1" applyBorder="1" applyAlignment="1">
      <alignment vertical="center" wrapText="1"/>
    </xf>
    <xf numFmtId="0" fontId="138" fillId="79" borderId="16" xfId="30099" applyFont="1" applyFill="1" applyBorder="1" applyAlignment="1">
      <alignment vertical="center"/>
    </xf>
    <xf numFmtId="0" fontId="130" fillId="79" borderId="11" xfId="30099" applyFont="1" applyFill="1" applyBorder="1" applyAlignment="1">
      <alignment horizontal="left" vertical="top" wrapText="1"/>
    </xf>
    <xf numFmtId="0" fontId="139" fillId="0" borderId="0" xfId="30099" applyFont="1" applyAlignment="1">
      <alignment horizontal="left" vertical="top"/>
    </xf>
    <xf numFmtId="0" fontId="139" fillId="26" borderId="15" xfId="30099" applyFont="1" applyFill="1" applyBorder="1" applyAlignment="1">
      <alignment horizontal="left" vertical="top"/>
    </xf>
    <xf numFmtId="0" fontId="139" fillId="26" borderId="0" xfId="30099" applyFont="1" applyFill="1" applyAlignment="1">
      <alignment horizontal="left" vertical="top"/>
    </xf>
    <xf numFmtId="0" fontId="130" fillId="26" borderId="0" xfId="30099" applyFont="1" applyFill="1" applyAlignment="1">
      <alignment horizontal="left" vertical="top" wrapText="1"/>
    </xf>
    <xf numFmtId="0" fontId="139" fillId="26" borderId="0" xfId="30099" applyFont="1" applyFill="1" applyAlignment="1">
      <alignment horizontal="left" vertical="center"/>
    </xf>
    <xf numFmtId="0" fontId="139" fillId="26" borderId="60" xfId="30099" applyFont="1" applyFill="1" applyBorder="1" applyAlignment="1">
      <alignment horizontal="left" vertical="top" wrapText="1"/>
    </xf>
    <xf numFmtId="0" fontId="130" fillId="26" borderId="15" xfId="30099" applyFont="1" applyFill="1" applyBorder="1" applyAlignment="1">
      <alignment horizontal="left" vertical="top"/>
    </xf>
    <xf numFmtId="0" fontId="130" fillId="26" borderId="0" xfId="30099" applyFont="1" applyFill="1" applyAlignment="1">
      <alignment horizontal="left" vertical="top"/>
    </xf>
    <xf numFmtId="0" fontId="130" fillId="26" borderId="60" xfId="30099" applyFont="1" applyFill="1" applyBorder="1" applyAlignment="1">
      <alignment horizontal="left" vertical="top" wrapText="1"/>
    </xf>
    <xf numFmtId="0" fontId="142" fillId="26" borderId="0" xfId="30099" applyFont="1" applyFill="1" applyAlignment="1">
      <alignment horizontal="left" vertical="top"/>
    </xf>
    <xf numFmtId="0" fontId="130" fillId="26" borderId="0" xfId="30099" applyFont="1" applyFill="1" applyAlignment="1">
      <alignment horizontal="left" vertical="center"/>
    </xf>
    <xf numFmtId="14" fontId="130" fillId="0" borderId="70" xfId="30099" applyNumberFormat="1" applyFont="1" applyBorder="1" applyAlignment="1" applyProtection="1">
      <alignment horizontal="center" vertical="center"/>
      <protection locked="0"/>
    </xf>
    <xf numFmtId="0" fontId="130" fillId="26" borderId="0" xfId="30099" applyFont="1" applyFill="1" applyAlignment="1">
      <alignment horizontal="left" vertical="center" wrapText="1"/>
    </xf>
    <xf numFmtId="0" fontId="130" fillId="0" borderId="70" xfId="30099" applyFont="1" applyBorder="1" applyAlignment="1" applyProtection="1">
      <alignment horizontal="center" vertical="center"/>
      <protection locked="0"/>
    </xf>
    <xf numFmtId="0" fontId="146" fillId="26" borderId="0" xfId="30099" applyFont="1" applyFill="1" applyAlignment="1">
      <alignment horizontal="center" vertical="center" wrapText="1"/>
    </xf>
    <xf numFmtId="0" fontId="130" fillId="0" borderId="57" xfId="30099" applyFont="1" applyBorder="1" applyAlignment="1" applyProtection="1">
      <alignment horizontal="center" vertical="center"/>
      <protection locked="0"/>
    </xf>
    <xf numFmtId="0" fontId="130" fillId="26" borderId="0" xfId="30099" applyFont="1" applyFill="1" applyAlignment="1">
      <alignment horizontal="center" vertical="center"/>
    </xf>
    <xf numFmtId="0" fontId="147" fillId="26" borderId="0" xfId="30099" applyFont="1" applyFill="1" applyAlignment="1">
      <alignment horizontal="left" vertical="top" wrapText="1"/>
    </xf>
    <xf numFmtId="0" fontId="147" fillId="0" borderId="57" xfId="30099" applyFont="1" applyBorder="1" applyAlignment="1" applyProtection="1">
      <alignment horizontal="center" vertical="center" wrapText="1"/>
      <protection locked="0"/>
    </xf>
    <xf numFmtId="0" fontId="132" fillId="0" borderId="0" xfId="30099" applyFont="1" applyAlignment="1">
      <alignment horizontal="left"/>
    </xf>
    <xf numFmtId="0" fontId="131" fillId="0" borderId="70" xfId="30099" applyFont="1" applyBorder="1" applyAlignment="1" applyProtection="1">
      <alignment horizontal="center" vertical="center"/>
      <protection locked="0"/>
    </xf>
    <xf numFmtId="0" fontId="130" fillId="26" borderId="0" xfId="30099" applyFont="1" applyFill="1" applyAlignment="1">
      <alignment vertical="top" wrapText="1"/>
    </xf>
    <xf numFmtId="0" fontId="130" fillId="26" borderId="60" xfId="30099" applyFont="1" applyFill="1" applyBorder="1" applyAlignment="1">
      <alignment vertical="top" wrapText="1"/>
    </xf>
    <xf numFmtId="0" fontId="134" fillId="26" borderId="0" xfId="30099" applyFont="1" applyFill="1" applyAlignment="1">
      <alignment horizontal="left" vertical="top"/>
    </xf>
    <xf numFmtId="0" fontId="142" fillId="26" borderId="0" xfId="30099" applyFont="1" applyFill="1" applyAlignment="1">
      <alignment horizontal="left" vertical="top" wrapText="1"/>
    </xf>
    <xf numFmtId="0" fontId="130" fillId="26" borderId="15" xfId="30099" applyFont="1" applyFill="1" applyBorder="1" applyAlignment="1">
      <alignment horizontal="left"/>
    </xf>
    <xf numFmtId="0" fontId="130" fillId="26" borderId="0" xfId="30099" applyFont="1" applyFill="1" applyAlignment="1">
      <alignment horizontal="left"/>
    </xf>
    <xf numFmtId="0" fontId="130" fillId="26" borderId="0" xfId="30099" applyFont="1" applyFill="1" applyAlignment="1">
      <alignment vertical="center" wrapText="1"/>
    </xf>
    <xf numFmtId="0" fontId="142" fillId="26" borderId="0" xfId="30099" applyFont="1" applyFill="1" applyAlignment="1">
      <alignment vertical="center" wrapText="1"/>
    </xf>
    <xf numFmtId="0" fontId="130" fillId="0" borderId="0" xfId="30099" applyFont="1" applyAlignment="1">
      <alignment horizontal="left"/>
    </xf>
    <xf numFmtId="0" fontId="136" fillId="26" borderId="0" xfId="30099" applyFont="1" applyFill="1" applyAlignment="1">
      <alignment horizontal="left"/>
    </xf>
    <xf numFmtId="0" fontId="136" fillId="26" borderId="0" xfId="30099" applyFont="1" applyFill="1" applyAlignment="1">
      <alignment horizontal="right" vertical="center"/>
    </xf>
    <xf numFmtId="0" fontId="136" fillId="26" borderId="0" xfId="30099" applyFont="1" applyFill="1" applyAlignment="1">
      <alignment horizontal="right"/>
    </xf>
    <xf numFmtId="0" fontId="130" fillId="26" borderId="0" xfId="30099" applyFont="1" applyFill="1" applyAlignment="1">
      <alignment horizontal="right" vertical="center" wrapText="1"/>
    </xf>
    <xf numFmtId="14" fontId="130" fillId="26" borderId="0" xfId="30099" applyNumberFormat="1" applyFont="1" applyFill="1" applyAlignment="1">
      <alignment horizontal="left" vertical="center"/>
    </xf>
    <xf numFmtId="0" fontId="151" fillId="79" borderId="0" xfId="30099" applyFont="1" applyFill="1" applyAlignment="1">
      <alignment vertical="center"/>
    </xf>
    <xf numFmtId="0" fontId="151" fillId="79" borderId="0" xfId="30099" applyFont="1" applyFill="1" applyAlignment="1">
      <alignment horizontal="left" vertical="center"/>
    </xf>
    <xf numFmtId="0" fontId="142" fillId="26" borderId="0" xfId="30099" applyFont="1" applyFill="1" applyAlignment="1">
      <alignment horizontal="left" vertical="center" wrapText="1"/>
    </xf>
    <xf numFmtId="0" fontId="142" fillId="26" borderId="60" xfId="30099" applyFont="1" applyFill="1" applyBorder="1" applyAlignment="1">
      <alignment vertical="top" wrapText="1"/>
    </xf>
    <xf numFmtId="0" fontId="130" fillId="26" borderId="40" xfId="30099" applyFont="1" applyFill="1" applyBorder="1" applyAlignment="1">
      <alignment horizontal="left" vertical="top"/>
    </xf>
    <xf numFmtId="0" fontId="130" fillId="26" borderId="41" xfId="30099" applyFont="1" applyFill="1" applyBorder="1" applyAlignment="1">
      <alignment horizontal="left" vertical="top"/>
    </xf>
    <xf numFmtId="0" fontId="130" fillId="26" borderId="41" xfId="30099" applyFont="1" applyFill="1" applyBorder="1" applyAlignment="1">
      <alignment horizontal="right" vertical="center" wrapText="1"/>
    </xf>
    <xf numFmtId="0" fontId="130" fillId="26" borderId="41" xfId="30099" applyFont="1" applyFill="1" applyBorder="1" applyAlignment="1">
      <alignment horizontal="left" vertical="center"/>
    </xf>
    <xf numFmtId="0" fontId="130" fillId="26" borderId="42" xfId="30099" applyFont="1" applyFill="1" applyBorder="1" applyAlignment="1">
      <alignment horizontal="left" vertical="top" wrapText="1"/>
    </xf>
    <xf numFmtId="0" fontId="130" fillId="0" borderId="0" xfId="30099" applyFont="1" applyAlignment="1">
      <alignment horizontal="left" vertical="top" wrapText="1"/>
    </xf>
    <xf numFmtId="2" fontId="130" fillId="0" borderId="0" xfId="30099" applyNumberFormat="1" applyFont="1" applyAlignment="1">
      <alignment horizontal="left" vertical="top"/>
    </xf>
    <xf numFmtId="0" fontId="130" fillId="0" borderId="0" xfId="30099" applyFont="1" applyAlignment="1">
      <alignment horizontal="left" vertical="center" wrapText="1"/>
    </xf>
    <xf numFmtId="14" fontId="130" fillId="0" borderId="0" xfId="30099" applyNumberFormat="1" applyFont="1" applyAlignment="1">
      <alignment horizontal="left" vertical="top"/>
    </xf>
    <xf numFmtId="0" fontId="130"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3" fillId="26" borderId="0" xfId="30099" applyFont="1" applyFill="1" applyAlignment="1">
      <alignment horizontal="center" vertical="center"/>
    </xf>
    <xf numFmtId="164" fontId="136" fillId="26" borderId="0" xfId="30100" applyNumberFormat="1" applyFont="1" applyFill="1" applyBorder="1" applyAlignment="1">
      <alignment vertical="center"/>
    </xf>
    <xf numFmtId="164" fontId="136" fillId="26" borderId="0" xfId="30100" applyNumberFormat="1" applyFont="1" applyFill="1" applyBorder="1" applyAlignment="1">
      <alignment vertical="top"/>
    </xf>
    <xf numFmtId="164" fontId="135" fillId="26" borderId="0" xfId="30100" applyNumberFormat="1" applyFont="1" applyFill="1" applyBorder="1" applyAlignment="1">
      <alignment vertical="center"/>
    </xf>
    <xf numFmtId="164" fontId="134" fillId="26" borderId="0" xfId="30100" applyNumberFormat="1" applyFont="1" applyFill="1" applyBorder="1" applyAlignment="1">
      <alignment vertical="center"/>
    </xf>
    <xf numFmtId="164" fontId="136" fillId="26" borderId="41" xfId="30100" applyNumberFormat="1" applyFont="1" applyFill="1" applyBorder="1" applyAlignment="1">
      <alignment vertical="top"/>
    </xf>
    <xf numFmtId="164" fontId="130" fillId="0" borderId="0" xfId="30100" applyNumberFormat="1" applyFont="1" applyFill="1" applyBorder="1" applyAlignment="1">
      <alignment vertical="top"/>
    </xf>
    <xf numFmtId="49" fontId="136" fillId="26" borderId="0" xfId="30100" applyNumberFormat="1" applyFont="1" applyFill="1" applyBorder="1" applyAlignment="1">
      <alignment horizontal="center" vertical="center"/>
    </xf>
    <xf numFmtId="49" fontId="136" fillId="26" borderId="0" xfId="30100" applyNumberFormat="1" applyFont="1" applyFill="1" applyBorder="1" applyAlignment="1">
      <alignment horizontal="center" vertical="top"/>
    </xf>
    <xf numFmtId="0" fontId="136" fillId="26" borderId="0" xfId="30099" applyFont="1" applyFill="1" applyAlignment="1">
      <alignment horizontal="left" wrapText="1"/>
    </xf>
    <xf numFmtId="0" fontId="136" fillId="26" borderId="0" xfId="30099" applyFont="1" applyFill="1" applyAlignment="1">
      <alignment horizontal="left" vertical="center" wrapText="1"/>
    </xf>
    <xf numFmtId="0" fontId="130" fillId="0" borderId="0" xfId="30099" applyFont="1" applyFill="1" applyAlignment="1">
      <alignment horizontal="left"/>
    </xf>
    <xf numFmtId="0" fontId="132" fillId="0" borderId="0" xfId="30099"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8" fillId="79" borderId="41" xfId="30099" applyFont="1" applyFill="1" applyBorder="1" applyAlignment="1">
      <alignment vertical="center"/>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4" fillId="26" borderId="0" xfId="30099" applyFont="1" applyFill="1" applyAlignment="1">
      <alignment vertical="top" wrapText="1"/>
    </xf>
    <xf numFmtId="0" fontId="155"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6" xfId="0" applyFont="1" applyFill="1" applyBorder="1" applyAlignment="1">
      <alignment horizontal="center"/>
    </xf>
    <xf numFmtId="0" fontId="40" fillId="78" borderId="86" xfId="0" applyFont="1" applyFill="1" applyBorder="1" applyAlignment="1">
      <alignment horizontal="center" wrapText="1"/>
    </xf>
    <xf numFmtId="0" fontId="40" fillId="78" borderId="95" xfId="0" applyFont="1" applyFill="1" applyBorder="1" applyAlignment="1">
      <alignment vertical="center" wrapText="1"/>
    </xf>
    <xf numFmtId="0" fontId="40" fillId="78" borderId="89" xfId="0" applyFont="1" applyFill="1" applyBorder="1" applyAlignment="1">
      <alignment wrapText="1"/>
    </xf>
    <xf numFmtId="0" fontId="40" fillId="78" borderId="86" xfId="0" applyFont="1" applyFill="1" applyBorder="1" applyAlignment="1">
      <alignment wrapText="1"/>
    </xf>
    <xf numFmtId="43" fontId="0" fillId="0" borderId="83" xfId="439" applyNumberFormat="1" applyFont="1" applyBorder="1"/>
    <xf numFmtId="0" fontId="40" fillId="78" borderId="98" xfId="0" applyFont="1" applyFill="1" applyBorder="1" applyAlignment="1">
      <alignment horizontal="center"/>
    </xf>
    <xf numFmtId="0" fontId="40" fillId="78" borderId="93" xfId="0" applyFont="1" applyFill="1" applyBorder="1" applyAlignment="1">
      <alignment horizontal="center"/>
    </xf>
    <xf numFmtId="0" fontId="40" fillId="78" borderId="95" xfId="0" applyFont="1" applyFill="1" applyBorder="1" applyAlignment="1">
      <alignment wrapText="1"/>
    </xf>
    <xf numFmtId="0" fontId="40" fillId="78" borderId="102"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0" fillId="0" borderId="0" xfId="659" applyFont="1" applyFill="1"/>
    <xf numFmtId="0" fontId="160" fillId="0" borderId="0" xfId="0" applyFont="1" applyAlignment="1">
      <alignment vertical="center"/>
    </xf>
    <xf numFmtId="0" fontId="160" fillId="0" borderId="0" xfId="30099" applyFont="1" applyAlignment="1">
      <alignment horizontal="left" vertical="top"/>
    </xf>
    <xf numFmtId="0" fontId="156" fillId="26" borderId="0" xfId="30099" applyFont="1" applyFill="1" applyAlignment="1">
      <alignment vertical="center" wrapText="1"/>
    </xf>
    <xf numFmtId="0" fontId="161" fillId="26" borderId="0" xfId="30099" applyFont="1" applyFill="1" applyAlignment="1">
      <alignment vertical="center" wrapText="1"/>
    </xf>
    <xf numFmtId="0" fontId="130" fillId="26" borderId="0" xfId="30099" applyFont="1" applyFill="1" applyAlignment="1">
      <alignment horizontal="left" vertical="center" wrapText="1"/>
    </xf>
    <xf numFmtId="0" fontId="162" fillId="0" borderId="0" xfId="0" applyFont="1"/>
    <xf numFmtId="0" fontId="136" fillId="26" borderId="0" xfId="30100" applyNumberFormat="1" applyFont="1" applyFill="1" applyBorder="1" applyAlignment="1">
      <alignment horizontal="center" vertical="center"/>
    </xf>
    <xf numFmtId="164" fontId="136"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quotePrefix="1" applyFont="1" applyFill="1"/>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2"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1"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2"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60" fillId="0" borderId="45" xfId="439" applyNumberFormat="1" applyFont="1" applyFill="1" applyBorder="1" applyAlignment="1" applyProtection="1">
      <alignment horizontal="center" vertical="center" wrapText="1"/>
    </xf>
    <xf numFmtId="0" fontId="65"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60"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60"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5" fillId="0" borderId="45" xfId="0" applyNumberFormat="1" applyFont="1" applyFill="1" applyBorder="1" applyAlignment="1" applyProtection="1">
      <alignment horizontal="left" vertical="center" wrapText="1"/>
    </xf>
    <xf numFmtId="0" fontId="60"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60"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60" fillId="0" borderId="29" xfId="439" applyNumberFormat="1" applyFont="1" applyFill="1" applyBorder="1" applyAlignment="1" applyProtection="1">
      <alignment horizontal="center" vertical="center" wrapText="1"/>
    </xf>
    <xf numFmtId="164" fontId="60" fillId="0" borderId="23" xfId="439" applyNumberFormat="1" applyFont="1" applyFill="1" applyBorder="1" applyAlignment="1" applyProtection="1">
      <alignment horizontal="center" vertical="center" wrapText="1"/>
    </xf>
    <xf numFmtId="0" fontId="60" fillId="0" borderId="23" xfId="0" applyNumberFormat="1" applyFont="1" applyFill="1" applyBorder="1" applyAlignment="1" applyProtection="1">
      <alignment horizontal="left" vertical="center" wrapText="1"/>
    </xf>
    <xf numFmtId="39" fontId="60" fillId="0" borderId="28" xfId="439" applyNumberFormat="1" applyFont="1" applyFill="1" applyBorder="1" applyAlignment="1" applyProtection="1">
      <alignment horizontal="center" vertical="center" wrapText="1"/>
    </xf>
    <xf numFmtId="164" fontId="60"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0" fillId="34" borderId="23" xfId="0" applyNumberFormat="1" applyFont="1" applyFill="1" applyBorder="1" applyAlignment="1" applyProtection="1">
      <alignment horizontal="left" vertical="center" wrapText="1"/>
    </xf>
    <xf numFmtId="164" fontId="60" fillId="29" borderId="23" xfId="439" applyNumberFormat="1" applyFont="1" applyFill="1" applyBorder="1" applyAlignment="1" applyProtection="1">
      <alignment horizontal="center" vertical="center" wrapText="1"/>
      <protection locked="0"/>
    </xf>
    <xf numFmtId="3" fontId="60" fillId="0" borderId="23" xfId="439" applyNumberFormat="1" applyFont="1" applyFill="1" applyBorder="1" applyAlignment="1" applyProtection="1">
      <alignment horizontal="center" vertical="center" wrapText="1"/>
    </xf>
    <xf numFmtId="3" fontId="60" fillId="34" borderId="23" xfId="439" applyNumberFormat="1" applyFont="1" applyFill="1" applyBorder="1" applyAlignment="1" applyProtection="1">
      <alignment horizontal="center" vertical="center" wrapText="1"/>
    </xf>
    <xf numFmtId="0" fontId="60" fillId="22" borderId="23" xfId="439" applyNumberFormat="1" applyFont="1" applyFill="1" applyBorder="1" applyAlignment="1" applyProtection="1">
      <alignment horizontal="center" vertical="center" wrapText="1"/>
      <protection locked="0"/>
    </xf>
    <xf numFmtId="164" fontId="60"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60" fillId="0" borderId="45" xfId="439" applyNumberFormat="1"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0" fillId="78" borderId="25" xfId="0" applyNumberFormat="1" applyFont="1" applyFill="1" applyBorder="1" applyAlignment="1" applyProtection="1">
      <alignment horizontal="left" vertical="center" wrapText="1"/>
    </xf>
    <xf numFmtId="0" fontId="60"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2"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7" xfId="545" applyNumberFormat="1" applyFont="1" applyFill="1" applyBorder="1" applyAlignment="1">
      <alignment horizontal="center"/>
    </xf>
    <xf numFmtId="10" fontId="0" fillId="0" borderId="96" xfId="4688" applyNumberFormat="1" applyFont="1" applyFill="1" applyBorder="1" applyAlignment="1">
      <alignment horizontal="center"/>
    </xf>
    <xf numFmtId="164" fontId="51" fillId="0" borderId="0" xfId="0" applyNumberFormat="1" applyFont="1" applyFill="1" applyAlignment="1" applyProtection="1">
      <alignment wrapText="1"/>
    </xf>
    <xf numFmtId="0" fontId="130"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3" fillId="81" borderId="57" xfId="30099" applyFont="1" applyFill="1" applyBorder="1" applyAlignment="1" applyProtection="1">
      <alignment horizontal="center" vertical="center"/>
      <protection locked="0"/>
    </xf>
    <xf numFmtId="0" fontId="130" fillId="81" borderId="57" xfId="30099" applyFont="1" applyFill="1" applyBorder="1" applyAlignment="1" applyProtection="1">
      <alignment horizontal="center" vertical="center"/>
      <protection locked="0"/>
    </xf>
    <xf numFmtId="14" fontId="130" fillId="81" borderId="57" xfId="30099" applyNumberFormat="1" applyFont="1" applyFill="1" applyBorder="1" applyAlignment="1" applyProtection="1">
      <alignment horizontal="center" vertical="center"/>
      <protection locked="0"/>
    </xf>
    <xf numFmtId="164" fontId="136"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7"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7"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64" fontId="0" fillId="0" borderId="0" xfId="439" applyNumberFormat="1" applyFont="1" applyFill="1" applyAlignment="1">
      <alignment horizontal="center"/>
    </xf>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43" fontId="0" fillId="0" borderId="0" xfId="439" applyNumberFormat="1" applyFont="1" applyFill="1" applyAlignment="1">
      <alignment horizontal="center"/>
    </xf>
    <xf numFmtId="164" fontId="59" fillId="0" borderId="0" xfId="439" applyNumberFormat="1" applyFont="1" applyFill="1" applyAlignment="1">
      <alignment horizontal="left"/>
    </xf>
    <xf numFmtId="164" fontId="45" fillId="0" borderId="0" xfId="439" applyNumberFormat="1" applyFont="1" applyFill="1"/>
    <xf numFmtId="164" fontId="25" fillId="0" borderId="0" xfId="439" applyNumberFormat="1" applyFont="1" applyFill="1" applyAlignment="1">
      <alignment horizontal="right" vertical="center" wrapText="1"/>
    </xf>
    <xf numFmtId="38" fontId="0" fillId="0" borderId="0" xfId="0" applyNumberFormat="1" applyFont="1" applyFill="1"/>
    <xf numFmtId="40" fontId="0" fillId="0" borderId="0" xfId="0" applyNumberFormat="1" applyFont="1" applyFill="1"/>
    <xf numFmtId="43" fontId="0" fillId="0" borderId="0" xfId="0" applyNumberFormat="1" applyFont="1" applyFill="1"/>
    <xf numFmtId="0" fontId="0" fillId="0" borderId="91" xfId="0" applyFont="1" applyFill="1" applyBorder="1" applyAlignment="1">
      <alignment vertical="center"/>
    </xf>
    <xf numFmtId="0" fontId="0" fillId="0" borderId="0" xfId="0" applyFont="1" applyFill="1" applyBorder="1" applyAlignment="1">
      <alignment vertical="center" wrapText="1"/>
    </xf>
    <xf numFmtId="0" fontId="0" fillId="0" borderId="87" xfId="0" applyFont="1" applyFill="1" applyBorder="1" applyAlignment="1">
      <alignment wrapText="1"/>
    </xf>
    <xf numFmtId="0" fontId="0" fillId="0" borderId="15" xfId="0" applyFont="1" applyFill="1" applyBorder="1" applyAlignment="1">
      <alignment vertical="center"/>
    </xf>
    <xf numFmtId="10" fontId="0" fillId="0" borderId="0" xfId="4688" applyNumberFormat="1" applyFont="1" applyFill="1"/>
    <xf numFmtId="0" fontId="40" fillId="0" borderId="87" xfId="0" applyFont="1" applyFill="1" applyBorder="1" applyAlignment="1"/>
    <xf numFmtId="0" fontId="40" fillId="0" borderId="95" xfId="0" applyFont="1" applyFill="1" applyBorder="1" applyAlignment="1">
      <alignment vertical="center"/>
    </xf>
    <xf numFmtId="0" fontId="34" fillId="0" borderId="0" xfId="0" applyFont="1" applyProtection="1"/>
    <xf numFmtId="0" fontId="61" fillId="0" borderId="0" xfId="26000" applyFont="1" applyProtection="1"/>
    <xf numFmtId="0" fontId="61"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1" fillId="0" borderId="0" xfId="26000" applyFont="1" applyAlignment="1" applyProtection="1">
      <alignment horizontal="left"/>
    </xf>
    <xf numFmtId="0" fontId="61" fillId="84" borderId="0" xfId="26000" applyFont="1" applyFill="1" applyProtection="1"/>
    <xf numFmtId="0" fontId="46" fillId="84" borderId="0" xfId="26000" applyFont="1" applyFill="1" applyProtection="1"/>
    <xf numFmtId="0" fontId="165" fillId="0" borderId="57" xfId="26000" applyFont="1" applyBorder="1" applyProtection="1"/>
    <xf numFmtId="9" fontId="61"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1"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1" fillId="0" borderId="57" xfId="26000" applyNumberFormat="1" applyFont="1" applyBorder="1" applyProtection="1"/>
    <xf numFmtId="0" fontId="61" fillId="0" borderId="0" xfId="26000" applyFont="1" applyAlignment="1" applyProtection="1">
      <alignment horizontal="center"/>
    </xf>
    <xf numFmtId="0" fontId="61" fillId="0" borderId="71" xfId="26000" applyFont="1" applyBorder="1" applyAlignment="1" applyProtection="1">
      <alignment horizontal="right" vertical="top" wrapText="1"/>
    </xf>
    <xf numFmtId="164" fontId="61" fillId="0" borderId="73" xfId="29549" applyNumberFormat="1" applyFont="1" applyBorder="1" applyProtection="1"/>
    <xf numFmtId="167" fontId="46" fillId="0" borderId="0" xfId="29549" applyNumberFormat="1" applyFont="1" applyProtection="1"/>
    <xf numFmtId="43" fontId="61"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5"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3" fillId="78" borderId="101" xfId="0" applyFont="1" applyFill="1" applyBorder="1" applyAlignment="1">
      <alignment wrapText="1"/>
    </xf>
    <xf numFmtId="37" fontId="0" fillId="0" borderId="0" xfId="0" applyNumberFormat="1" applyFont="1" applyBorder="1"/>
    <xf numFmtId="0" fontId="0" fillId="0" borderId="87" xfId="0" applyNumberFormat="1" applyFont="1" applyBorder="1" applyAlignment="1">
      <alignment horizontal="center" wrapText="1"/>
    </xf>
    <xf numFmtId="10" fontId="0" fillId="0" borderId="83" xfId="0" applyNumberFormat="1" applyFont="1" applyBorder="1"/>
    <xf numFmtId="0" fontId="0" fillId="78" borderId="86" xfId="0" applyFont="1" applyFill="1" applyBorder="1"/>
    <xf numFmtId="0" fontId="0" fillId="78" borderId="86" xfId="0" applyFont="1" applyFill="1" applyBorder="1" applyAlignment="1">
      <alignment horizontal="center" wrapText="1"/>
    </xf>
    <xf numFmtId="0" fontId="0" fillId="78" borderId="86" xfId="0" applyFont="1" applyFill="1" applyBorder="1" applyAlignment="1">
      <alignment wrapText="1"/>
    </xf>
    <xf numFmtId="0" fontId="0" fillId="78" borderId="98" xfId="0" applyFont="1" applyFill="1" applyBorder="1" applyAlignment="1">
      <alignment horizontal="center" wrapText="1"/>
    </xf>
    <xf numFmtId="0" fontId="0" fillId="78" borderId="98" xfId="0" applyFont="1" applyFill="1" applyBorder="1"/>
    <xf numFmtId="2" fontId="0" fillId="0" borderId="83" xfId="0" applyNumberFormat="1" applyFont="1" applyBorder="1"/>
    <xf numFmtId="168" fontId="0" fillId="0" borderId="83" xfId="0" applyNumberFormat="1" applyFont="1" applyBorder="1"/>
    <xf numFmtId="2" fontId="0" fillId="80" borderId="88" xfId="0" applyNumberFormat="1" applyFont="1" applyFill="1" applyBorder="1"/>
    <xf numFmtId="0" fontId="0" fillId="78" borderId="93" xfId="0" applyFont="1" applyFill="1" applyBorder="1" applyAlignment="1">
      <alignment horizontal="center" wrapText="1"/>
    </xf>
    <xf numFmtId="0" fontId="0" fillId="78" borderId="93" xfId="0" applyFont="1" applyFill="1" applyBorder="1"/>
    <xf numFmtId="0" fontId="0" fillId="78" borderId="94" xfId="0" applyFont="1" applyFill="1" applyBorder="1"/>
    <xf numFmtId="39" fontId="0" fillId="0" borderId="83" xfId="0" applyNumberFormat="1" applyFont="1" applyBorder="1"/>
    <xf numFmtId="2" fontId="0" fillId="0" borderId="87" xfId="0" applyNumberFormat="1" applyFont="1" applyFill="1" applyBorder="1" applyAlignment="1">
      <alignment horizontal="center"/>
    </xf>
    <xf numFmtId="0" fontId="0" fillId="78" borderId="89" xfId="0" applyFont="1" applyFill="1" applyBorder="1"/>
    <xf numFmtId="0" fontId="0" fillId="78" borderId="89" xfId="0" applyFont="1" applyFill="1" applyBorder="1" applyAlignment="1">
      <alignment horizontal="center" wrapText="1"/>
    </xf>
    <xf numFmtId="0" fontId="0" fillId="78" borderId="89"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6" xfId="0" applyFont="1" applyFill="1" applyBorder="1"/>
    <xf numFmtId="0" fontId="0" fillId="78" borderId="10" xfId="0" quotePrefix="1" applyFont="1" applyFill="1" applyBorder="1" applyAlignment="1">
      <alignment horizontal="center" wrapText="1"/>
    </xf>
    <xf numFmtId="0" fontId="0" fillId="0" borderId="99"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4" xfId="0" applyFont="1" applyFill="1" applyBorder="1" applyAlignment="1">
      <alignment wrapText="1"/>
    </xf>
    <xf numFmtId="0" fontId="0" fillId="0" borderId="100"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4"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9" xfId="0" applyFont="1" applyBorder="1" applyAlignment="1">
      <alignment vertical="center"/>
    </xf>
    <xf numFmtId="0" fontId="173" fillId="78" borderId="105" xfId="0" applyFont="1" applyFill="1" applyBorder="1" applyAlignment="1">
      <alignment wrapText="1"/>
    </xf>
    <xf numFmtId="0" fontId="40" fillId="0" borderId="92" xfId="0" applyFont="1" applyBorder="1" applyAlignment="1">
      <alignment vertical="center"/>
    </xf>
    <xf numFmtId="9" fontId="40" fillId="0" borderId="0" xfId="4688" applyFont="1" applyBorder="1" applyAlignment="1">
      <alignment horizontal="center" wrapText="1"/>
    </xf>
    <xf numFmtId="0" fontId="40" fillId="0" borderId="86" xfId="0" applyFont="1" applyBorder="1" applyAlignment="1">
      <alignment vertical="center"/>
    </xf>
    <xf numFmtId="0" fontId="40" fillId="0" borderId="0" xfId="0" applyFont="1" applyFill="1" applyBorder="1" applyAlignment="1">
      <alignment vertical="center"/>
    </xf>
    <xf numFmtId="0" fontId="40" fillId="0" borderId="89" xfId="0" applyFont="1" applyBorder="1" applyAlignment="1">
      <alignment vertical="center"/>
    </xf>
    <xf numFmtId="0" fontId="40" fillId="0" borderId="83" xfId="0" applyFont="1" applyBorder="1" applyAlignment="1">
      <alignment vertical="center"/>
    </xf>
    <xf numFmtId="0" fontId="163" fillId="73" borderId="94" xfId="0" applyFont="1" applyFill="1" applyBorder="1" applyAlignment="1">
      <alignment horizontal="center" vertical="center" wrapText="1"/>
    </xf>
    <xf numFmtId="0" fontId="40" fillId="78" borderId="12" xfId="0" applyFont="1" applyFill="1" applyBorder="1"/>
    <xf numFmtId="0" fontId="173" fillId="78" borderId="111"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2"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0"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0"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60"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60"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60" fillId="0" borderId="0" xfId="30099" applyNumberFormat="1" applyFont="1" applyFill="1" applyAlignment="1">
      <alignment horizontal="right" vertical="top" indent="1" shrinkToFit="1"/>
    </xf>
    <xf numFmtId="1" fontId="160" fillId="82" borderId="0" xfId="30099" applyNumberFormat="1" applyFont="1" applyFill="1" applyAlignment="1">
      <alignment horizontal="left" vertical="top" indent="3" shrinkToFit="1"/>
    </xf>
    <xf numFmtId="181" fontId="160" fillId="0" borderId="0" xfId="30099" applyNumberFormat="1" applyFont="1" applyAlignment="1">
      <alignment horizontal="right" vertical="top" indent="1" shrinkToFit="1"/>
    </xf>
    <xf numFmtId="1" fontId="160"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60"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60" fillId="82" borderId="0" xfId="30099" applyNumberFormat="1" applyFont="1" applyFill="1" applyAlignment="1">
      <alignment horizontal="center" vertical="top" shrinkToFit="1"/>
    </xf>
    <xf numFmtId="1" fontId="160"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60"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3" fillId="0" borderId="45" xfId="0" applyNumberFormat="1" applyFont="1" applyFill="1" applyBorder="1" applyAlignment="1" applyProtection="1">
      <alignment horizontal="left" vertical="center" wrapText="1"/>
    </xf>
    <xf numFmtId="0" fontId="65"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3"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2" fillId="28" borderId="0" xfId="439" applyNumberFormat="1" applyFont="1" applyFill="1" applyAlignment="1" applyProtection="1">
      <alignment wrapText="1"/>
    </xf>
    <xf numFmtId="41" fontId="7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2"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2"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2" fillId="0" borderId="0" xfId="0" applyNumberFormat="1" applyFont="1" applyFill="1" applyAlignment="1" applyProtection="1">
      <alignment wrapText="1"/>
    </xf>
    <xf numFmtId="0" fontId="72" fillId="0" borderId="0" xfId="0" applyFont="1" applyFill="1" applyProtection="1"/>
    <xf numFmtId="164" fontId="0" fillId="0" borderId="45" xfId="0" applyNumberFormat="1" applyFont="1" applyFill="1" applyBorder="1" applyAlignment="1" applyProtection="1">
      <alignment wrapText="1"/>
      <protection locked="0"/>
    </xf>
    <xf numFmtId="0" fontId="73" fillId="0" borderId="0" xfId="0" applyFont="1" applyFill="1" applyAlignment="1" applyProtection="1">
      <alignment wrapText="1"/>
    </xf>
    <xf numFmtId="0" fontId="40" fillId="0" borderId="0" xfId="0" applyFont="1" applyFill="1" applyAlignment="1" applyProtection="1">
      <alignment horizontal="center" vertical="center" wrapText="1"/>
    </xf>
    <xf numFmtId="0" fontId="73" fillId="0" borderId="0" xfId="0" applyFont="1" applyFill="1" applyAlignment="1" applyProtection="1">
      <alignment horizontal="left" wrapText="1" indent="2"/>
    </xf>
    <xf numFmtId="0" fontId="0" fillId="0" borderId="0" xfId="0" applyFont="1" applyBorder="1" applyAlignment="1" applyProtection="1">
      <alignment wrapText="1"/>
    </xf>
    <xf numFmtId="41" fontId="73" fillId="0" borderId="45" xfId="0" applyNumberFormat="1" applyFont="1" applyFill="1" applyBorder="1" applyAlignment="1" applyProtection="1">
      <alignment wrapText="1"/>
    </xf>
    <xf numFmtId="41" fontId="73" fillId="0" borderId="45" xfId="0" applyNumberFormat="1" applyFont="1" applyBorder="1" applyAlignment="1">
      <alignment wrapText="1"/>
    </xf>
    <xf numFmtId="41" fontId="73"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3"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3"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2" fillId="0" borderId="0" xfId="439" applyNumberFormat="1" applyFont="1" applyFill="1" applyAlignment="1" applyProtection="1">
      <alignment vertical="center" wrapText="1"/>
    </xf>
    <xf numFmtId="39" fontId="7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2"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2"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5"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5"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5"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1" fillId="0" borderId="0" xfId="30099" applyFont="1" applyFill="1" applyAlignment="1">
      <alignment horizontal="left" vertical="top" wrapText="1"/>
    </xf>
    <xf numFmtId="0" fontId="61"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61"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3"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3" fillId="74" borderId="0" xfId="0" applyFont="1" applyFill="1" applyAlignment="1" applyProtection="1"/>
    <xf numFmtId="0" fontId="40" fillId="74" borderId="0" xfId="0" applyFont="1" applyFill="1" applyAlignment="1" applyProtection="1">
      <alignment horizontal="center" vertical="center" wrapText="1"/>
      <protection locked="0"/>
    </xf>
    <xf numFmtId="0" fontId="73"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5"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2"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3"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5" fillId="74" borderId="0" xfId="0" applyFont="1" applyFill="1" applyAlignment="1" applyProtection="1">
      <alignment vertical="center"/>
    </xf>
    <xf numFmtId="0" fontId="192" fillId="74" borderId="0" xfId="0" applyFont="1" applyFill="1" applyAlignment="1" applyProtection="1">
      <alignment vertical="center"/>
      <protection locked="0"/>
    </xf>
    <xf numFmtId="0" fontId="65"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1" fillId="74" borderId="0" xfId="0" applyFont="1" applyFill="1" applyAlignment="1">
      <alignment vertical="center" wrapText="1"/>
    </xf>
    <xf numFmtId="41" fontId="73" fillId="36" borderId="114" xfId="439" applyNumberFormat="1" applyFont="1" applyFill="1" applyBorder="1" applyAlignment="1">
      <alignment vertical="center" wrapText="1"/>
    </xf>
    <xf numFmtId="41" fontId="73" fillId="36" borderId="0" xfId="439" applyNumberFormat="1" applyFont="1" applyFill="1" applyAlignment="1">
      <alignment vertical="center" wrapText="1"/>
    </xf>
    <xf numFmtId="41" fontId="73" fillId="36" borderId="115"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1"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8" xfId="545" applyNumberFormat="1" applyFont="1" applyFill="1" applyBorder="1"/>
    <xf numFmtId="37" fontId="0" fillId="0" borderId="104" xfId="0" applyNumberFormat="1" applyFont="1" applyFill="1" applyBorder="1" applyAlignment="1">
      <alignment horizontal="center" wrapText="1"/>
    </xf>
    <xf numFmtId="37" fontId="85" fillId="0" borderId="104" xfId="0" applyNumberFormat="1" applyFont="1" applyFill="1" applyBorder="1" applyAlignment="1">
      <alignment horizontal="center" wrapText="1"/>
    </xf>
    <xf numFmtId="41" fontId="73"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7" xfId="0" applyNumberFormat="1" applyFont="1" applyFill="1" applyBorder="1" applyAlignment="1">
      <alignment horizontal="center" wrapText="1"/>
    </xf>
    <xf numFmtId="37" fontId="0" fillId="0" borderId="90" xfId="0" applyNumberFormat="1" applyFont="1" applyFill="1" applyBorder="1" applyAlignment="1">
      <alignment horizontal="center" wrapText="1"/>
    </xf>
    <xf numFmtId="10" fontId="0" fillId="0" borderId="96"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6" xfId="0" applyFont="1" applyFill="1" applyBorder="1" applyAlignment="1">
      <alignment wrapText="1"/>
    </xf>
    <xf numFmtId="10" fontId="0" fillId="0" borderId="85" xfId="4688" applyNumberFormat="1" applyFont="1" applyFill="1" applyBorder="1"/>
    <xf numFmtId="10" fontId="0" fillId="0" borderId="85" xfId="0" applyNumberFormat="1" applyFont="1" applyFill="1" applyBorder="1" applyAlignment="1">
      <alignment horizontal="center" wrapText="1"/>
    </xf>
    <xf numFmtId="0" fontId="0" fillId="0" borderId="117"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7" xfId="0" applyFont="1" applyFill="1" applyBorder="1" applyAlignment="1">
      <alignment vertical="center" wrapText="1"/>
    </xf>
    <xf numFmtId="0" fontId="0" fillId="78" borderId="97" xfId="0" applyFont="1" applyFill="1" applyBorder="1" applyAlignment="1">
      <alignment vertical="center" wrapText="1"/>
    </xf>
    <xf numFmtId="0" fontId="0" fillId="78" borderId="103" xfId="0" applyFont="1" applyFill="1" applyBorder="1" applyAlignment="1">
      <alignment vertical="center" wrapText="1"/>
    </xf>
    <xf numFmtId="0" fontId="0" fillId="78" borderId="96"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5" xfId="0" quotePrefix="1" applyFont="1" applyFill="1" applyBorder="1" applyAlignment="1">
      <alignment horizontal="center" vertical="center" wrapText="1"/>
    </xf>
    <xf numFmtId="0" fontId="0" fillId="78" borderId="85"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18" xfId="0" applyFont="1" applyFill="1" applyBorder="1" applyAlignment="1">
      <alignment wrapText="1"/>
    </xf>
    <xf numFmtId="9" fontId="0" fillId="78" borderId="85" xfId="4688" applyFont="1" applyFill="1" applyBorder="1" applyAlignment="1">
      <alignment horizontal="center" wrapText="1"/>
    </xf>
    <xf numFmtId="0" fontId="0" fillId="78" borderId="96" xfId="0" applyFont="1" applyFill="1" applyBorder="1" applyAlignment="1">
      <alignment horizontal="center" vertical="center" wrapText="1"/>
    </xf>
    <xf numFmtId="37" fontId="0" fillId="78" borderId="104" xfId="0" applyNumberFormat="1" applyFont="1" applyFill="1" applyBorder="1" applyAlignment="1">
      <alignment horizontal="center" wrapText="1"/>
    </xf>
    <xf numFmtId="0" fontId="0" fillId="78" borderId="99"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9" xfId="0" applyBorder="1"/>
    <xf numFmtId="0" fontId="0" fillId="0" borderId="82" xfId="0" applyBorder="1"/>
    <xf numFmtId="0" fontId="0" fillId="0" borderId="83" xfId="0" applyBorder="1"/>
    <xf numFmtId="0" fontId="0" fillId="0" borderId="122" xfId="0" applyBorder="1"/>
    <xf numFmtId="0" fontId="197" fillId="0" borderId="10" xfId="0" applyFont="1" applyBorder="1" applyAlignment="1">
      <alignment horizontal="center" vertical="center" wrapText="1"/>
    </xf>
    <xf numFmtId="0" fontId="0" fillId="0" borderId="75" xfId="0" applyBorder="1" applyAlignment="1">
      <alignment horizontal="center" wrapText="1"/>
    </xf>
    <xf numFmtId="1" fontId="0" fillId="0" borderId="0" xfId="0" applyNumberFormat="1"/>
    <xf numFmtId="0" fontId="197" fillId="0" borderId="85"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3"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1"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1"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4"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40" fillId="0" borderId="125" xfId="0" applyFont="1" applyBorder="1" applyAlignment="1">
      <alignment wrapText="1"/>
    </xf>
    <xf numFmtId="0" fontId="0" fillId="0" borderId="86" xfId="0" applyBorder="1"/>
    <xf numFmtId="0" fontId="0" fillId="0" borderId="86" xfId="0" applyBorder="1" applyAlignment="1">
      <alignment horizontal="center" wrapText="1"/>
    </xf>
    <xf numFmtId="0" fontId="0" fillId="0" borderId="86" xfId="0" applyBorder="1" applyAlignment="1">
      <alignment wrapText="1"/>
    </xf>
    <xf numFmtId="0" fontId="0" fillId="73" borderId="126" xfId="0" applyFill="1" applyBorder="1" applyAlignment="1">
      <alignment wrapText="1"/>
    </xf>
    <xf numFmtId="0" fontId="61"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27" xfId="0" applyFont="1" applyBorder="1" applyAlignment="1">
      <alignment wrapText="1"/>
    </xf>
    <xf numFmtId="0" fontId="0" fillId="0" borderId="128" xfId="0" applyBorder="1"/>
    <xf numFmtId="0" fontId="0" fillId="0" borderId="128" xfId="0" applyBorder="1" applyAlignment="1">
      <alignment horizontal="center" wrapText="1"/>
    </xf>
    <xf numFmtId="0" fontId="0" fillId="0" borderId="128" xfId="0" applyBorder="1" applyAlignment="1">
      <alignment wrapText="1"/>
    </xf>
    <xf numFmtId="0" fontId="0" fillId="78" borderId="86" xfId="0" applyFill="1" applyBorder="1"/>
    <xf numFmtId="0" fontId="40" fillId="78" borderId="91"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30" xfId="0" applyBorder="1"/>
    <xf numFmtId="0" fontId="40" fillId="0" borderId="0" xfId="0" applyFont="1" applyAlignment="1">
      <alignment wrapText="1"/>
    </xf>
    <xf numFmtId="0" fontId="0" fillId="0" borderId="121"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37" fontId="0" fillId="0" borderId="0" xfId="0" applyNumberFormat="1" applyAlignment="1">
      <alignment horizontal="center"/>
    </xf>
    <xf numFmtId="0" fontId="0" fillId="0" borderId="89" xfId="0" applyBorder="1"/>
    <xf numFmtId="0" fontId="0" fillId="0" borderId="89" xfId="0" applyBorder="1" applyAlignment="1">
      <alignment wrapText="1"/>
    </xf>
    <xf numFmtId="0" fontId="0" fillId="0" borderId="83" xfId="0" applyBorder="1" applyAlignment="1">
      <alignment wrapText="1"/>
    </xf>
    <xf numFmtId="2" fontId="0" fillId="0" borderId="57" xfId="0" applyNumberFormat="1" applyBorder="1" applyAlignment="1">
      <alignment horizontal="center"/>
    </xf>
    <xf numFmtId="0" fontId="0" fillId="0" borderId="91" xfId="0" applyBorder="1"/>
    <xf numFmtId="0" fontId="0" fillId="0" borderId="120" xfId="0" applyBorder="1"/>
    <xf numFmtId="0" fontId="0" fillId="78" borderId="71" xfId="0" applyFill="1" applyBorder="1" applyAlignment="1">
      <alignment horizontal="center" vertical="center" wrapText="1"/>
    </xf>
    <xf numFmtId="0" fontId="61" fillId="78" borderId="57" xfId="0" applyFont="1" applyFill="1" applyBorder="1" applyAlignment="1">
      <alignment horizontal="center" vertical="center" wrapText="1"/>
    </xf>
    <xf numFmtId="0" fontId="61"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3" fillId="0" borderId="0" xfId="0" applyFont="1" applyFill="1" applyBorder="1" applyAlignment="1">
      <alignment vertical="center" wrapText="1"/>
    </xf>
    <xf numFmtId="0" fontId="0" fillId="0" borderId="121"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1"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1" xfId="0" applyFont="1" applyFill="1" applyBorder="1" applyAlignment="1">
      <alignment vertical="center" wrapText="1"/>
    </xf>
    <xf numFmtId="0" fontId="0" fillId="78" borderId="123"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9" xfId="4688" applyNumberFormat="1" applyFont="1" applyBorder="1"/>
    <xf numFmtId="9" fontId="0" fillId="0" borderId="57" xfId="0" applyNumberFormat="1" applyBorder="1" applyAlignment="1">
      <alignment horizontal="center" vertical="center" wrapText="1"/>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47" fillId="78" borderId="57" xfId="0" applyFont="1" applyFill="1" applyBorder="1" applyAlignment="1">
      <alignment wrapText="1"/>
    </xf>
    <xf numFmtId="0" fontId="0" fillId="78" borderId="84"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4" fontId="0" fillId="0" borderId="57" xfId="4688" applyNumberFormat="1" applyFont="1" applyFill="1" applyBorder="1" applyAlignment="1">
      <alignment horizontal="center"/>
    </xf>
    <xf numFmtId="4" fontId="0" fillId="0" borderId="57" xfId="0" applyNumberFormat="1" applyBorder="1" applyAlignment="1">
      <alignment horizontal="center"/>
    </xf>
    <xf numFmtId="0" fontId="0" fillId="0" borderId="25" xfId="0" applyNumberFormat="1" applyFont="1" applyFill="1" applyBorder="1" applyAlignment="1">
      <alignment horizontal="center" vertical="center" wrapText="1"/>
    </xf>
    <xf numFmtId="164" fontId="0" fillId="0" borderId="0" xfId="439" applyNumberFormat="1" applyFont="1" applyFill="1" applyProtection="1"/>
    <xf numFmtId="164" fontId="0" fillId="27" borderId="0" xfId="439" applyNumberFormat="1" applyFont="1" applyFill="1"/>
    <xf numFmtId="164" fontId="0" fillId="27" borderId="0" xfId="439" applyNumberFormat="1" applyFont="1" applyFill="1" applyAlignment="1">
      <alignment horizontal="center"/>
    </xf>
    <xf numFmtId="37" fontId="0" fillId="27" borderId="0" xfId="439" applyNumberFormat="1" applyFont="1" applyFill="1"/>
    <xf numFmtId="164" fontId="46" fillId="22" borderId="0" xfId="439" applyNumberFormat="1" applyFont="1" applyFill="1" applyAlignment="1" applyProtection="1">
      <alignment horizontal="center" vertical="center" wrapText="1"/>
    </xf>
    <xf numFmtId="173" fontId="46" fillId="22" borderId="0" xfId="439" applyNumberFormat="1" applyFont="1" applyFill="1" applyAlignment="1" applyProtection="1">
      <alignment horizontal="center" vertical="center" wrapText="1"/>
    </xf>
    <xf numFmtId="41" fontId="73" fillId="0" borderId="0" xfId="439" applyNumberFormat="1" applyFont="1" applyFill="1" applyAlignment="1" applyProtection="1">
      <alignment horizontal="center" vertical="center" wrapText="1"/>
      <protection locked="0"/>
    </xf>
    <xf numFmtId="4" fontId="0" fillId="0" borderId="0" xfId="0" applyNumberFormat="1"/>
    <xf numFmtId="3" fontId="0" fillId="0" borderId="0" xfId="0" applyNumberFormat="1"/>
    <xf numFmtId="0" fontId="45" fillId="0" borderId="0" xfId="659" applyFont="1" applyAlignment="1">
      <alignment horizontal="center"/>
    </xf>
    <xf numFmtId="0" fontId="25" fillId="0" borderId="0" xfId="659" applyFont="1" applyAlignment="1">
      <alignment horizontal="left" vertical="center" wrapText="1"/>
    </xf>
    <xf numFmtId="0" fontId="45" fillId="0" borderId="0" xfId="659" applyFont="1"/>
    <xf numFmtId="38" fontId="198" fillId="0" borderId="0" xfId="440" applyNumberFormat="1" applyFont="1" applyFill="1" applyAlignment="1" applyProtection="1">
      <alignment horizontal="right" vertical="center"/>
    </xf>
    <xf numFmtId="0" fontId="199" fillId="0" borderId="0" xfId="659" applyFont="1"/>
    <xf numFmtId="0" fontId="35" fillId="0" borderId="0" xfId="659"/>
    <xf numFmtId="0" fontId="115" fillId="0" borderId="0" xfId="0" applyFont="1"/>
    <xf numFmtId="172" fontId="0" fillId="0" borderId="0" xfId="439" applyNumberFormat="1" applyFont="1"/>
    <xf numFmtId="164" fontId="35" fillId="0" borderId="0" xfId="659" applyNumberFormat="1"/>
    <xf numFmtId="37" fontId="0" fillId="0" borderId="0" xfId="439" applyNumberFormat="1" applyFont="1"/>
    <xf numFmtId="38" fontId="0" fillId="0" borderId="0" xfId="0" applyNumberFormat="1"/>
    <xf numFmtId="40" fontId="0" fillId="0" borderId="0" xfId="0" applyNumberFormat="1"/>
    <xf numFmtId="164" fontId="0" fillId="0" borderId="0" xfId="439" applyNumberFormat="1" applyFont="1" applyFill="1" applyAlignment="1">
      <alignment wrapText="1"/>
    </xf>
    <xf numFmtId="9" fontId="0" fillId="0" borderId="0" xfId="439" applyNumberFormat="1" applyFont="1" applyFill="1"/>
    <xf numFmtId="10" fontId="0" fillId="0" borderId="0" xfId="439" applyNumberFormat="1" applyFont="1" applyFill="1"/>
    <xf numFmtId="4" fontId="0" fillId="0" borderId="0" xfId="0" applyNumberFormat="1" applyFill="1"/>
    <xf numFmtId="3" fontId="0" fillId="0" borderId="0" xfId="0" applyNumberFormat="1" applyFill="1"/>
    <xf numFmtId="0" fontId="1" fillId="0" borderId="62" xfId="0" applyFont="1" applyBorder="1" applyAlignment="1">
      <alignment vertical="center" wrapText="1"/>
    </xf>
    <xf numFmtId="0" fontId="0" fillId="0" borderId="61" xfId="0" applyBorder="1" applyAlignment="1">
      <alignment horizontal="center"/>
    </xf>
    <xf numFmtId="0" fontId="1" fillId="0" borderId="0" xfId="0" applyFont="1" applyAlignment="1">
      <alignment vertical="center" wrapText="1"/>
    </xf>
    <xf numFmtId="0" fontId="1" fillId="0" borderId="132" xfId="0" applyFont="1" applyBorder="1" applyAlignment="1">
      <alignment vertical="center" wrapText="1"/>
    </xf>
    <xf numFmtId="0" fontId="0" fillId="0" borderId="133" xfId="0" applyBorder="1" applyAlignment="1">
      <alignment horizontal="center"/>
    </xf>
    <xf numFmtId="0" fontId="1" fillId="0" borderId="133" xfId="0" applyFont="1" applyBorder="1" applyAlignment="1">
      <alignment vertical="center" wrapText="1"/>
    </xf>
    <xf numFmtId="0" fontId="1" fillId="0" borderId="61" xfId="0" applyFont="1" applyBorder="1" applyAlignment="1">
      <alignment vertical="center" wrapText="1"/>
    </xf>
    <xf numFmtId="0" fontId="130" fillId="26" borderId="0" xfId="30099" applyFont="1" applyFill="1" applyAlignment="1">
      <alignment horizontal="left" vertical="top" wrapText="1"/>
    </xf>
    <xf numFmtId="0" fontId="136" fillId="26" borderId="0" xfId="30099" applyFont="1" applyFill="1" applyAlignment="1">
      <alignment horizontal="left" wrapText="1"/>
    </xf>
    <xf numFmtId="164" fontId="51" fillId="0" borderId="0" xfId="0" applyNumberFormat="1" applyFont="1" applyAlignment="1">
      <alignment wrapText="1"/>
    </xf>
    <xf numFmtId="10" fontId="0" fillId="0" borderId="57" xfId="0" applyNumberFormat="1" applyBorder="1" applyAlignment="1">
      <alignment horizontal="center" wrapText="1"/>
    </xf>
    <xf numFmtId="164" fontId="0" fillId="29" borderId="0" xfId="439" applyNumberFormat="1" applyFont="1" applyFill="1"/>
    <xf numFmtId="38" fontId="0" fillId="0" borderId="0" xfId="0" applyNumberFormat="1" applyFont="1" applyFill="1" applyProtection="1"/>
    <xf numFmtId="0" fontId="200" fillId="77" borderId="134" xfId="0" applyFont="1" applyFill="1" applyBorder="1" applyAlignment="1">
      <alignment horizontal="center" vertical="center" wrapText="1"/>
    </xf>
    <xf numFmtId="0" fontId="201" fillId="73" borderId="0" xfId="0" applyFont="1" applyFill="1" applyAlignment="1">
      <alignment horizontal="justify" vertical="center"/>
    </xf>
    <xf numFmtId="0" fontId="0" fillId="0" borderId="0" xfId="0" applyAlignment="1">
      <alignment vertical="center"/>
    </xf>
    <xf numFmtId="0" fontId="201" fillId="73" borderId="0" xfId="0" applyFont="1" applyFill="1" applyAlignment="1">
      <alignment vertical="center"/>
    </xf>
    <xf numFmtId="0" fontId="201" fillId="73" borderId="0" xfId="0" applyFont="1" applyFill="1" applyAlignment="1">
      <alignment vertical="center" wrapText="1"/>
    </xf>
    <xf numFmtId="0" fontId="205" fillId="73" borderId="0" xfId="611" applyFont="1" applyFill="1" applyAlignment="1">
      <alignment vertical="center"/>
    </xf>
    <xf numFmtId="0" fontId="206" fillId="73" borderId="0" xfId="0" applyFont="1" applyFill="1" applyAlignment="1">
      <alignment vertical="center"/>
    </xf>
    <xf numFmtId="0" fontId="207" fillId="73" borderId="0" xfId="611" applyFont="1" applyFill="1" applyAlignment="1" applyProtection="1">
      <alignment vertical="center"/>
      <protection locked="0"/>
    </xf>
    <xf numFmtId="0" fontId="206" fillId="73" borderId="0" xfId="0" applyFont="1" applyFill="1"/>
    <xf numFmtId="0" fontId="207" fillId="73" borderId="0" xfId="611" applyFont="1" applyFill="1" applyProtection="1">
      <protection locked="0"/>
    </xf>
    <xf numFmtId="0" fontId="122" fillId="73" borderId="0" xfId="30098" applyFont="1" applyFill="1" applyAlignment="1">
      <alignment horizontal="left" vertical="center" wrapText="1" indent="1"/>
    </xf>
    <xf numFmtId="0" fontId="122" fillId="73" borderId="0" xfId="30098" quotePrefix="1" applyFont="1" applyFill="1" applyAlignment="1">
      <alignment horizontal="left" vertical="center" wrapText="1" indent="1"/>
    </xf>
    <xf numFmtId="0" fontId="210" fillId="73" borderId="0" xfId="30098" applyFont="1" applyFill="1" applyAlignment="1">
      <alignment vertical="center" wrapText="1"/>
    </xf>
    <xf numFmtId="0" fontId="201" fillId="73" borderId="0" xfId="30098" applyFont="1" applyFill="1" applyAlignment="1">
      <alignment vertical="center" wrapText="1"/>
    </xf>
    <xf numFmtId="0" fontId="207" fillId="73" borderId="0" xfId="611" applyFont="1" applyFill="1" applyAlignment="1">
      <alignment vertical="center"/>
    </xf>
    <xf numFmtId="0" fontId="195" fillId="0" borderId="0" xfId="0" applyFont="1"/>
    <xf numFmtId="0" fontId="36" fillId="0" borderId="0" xfId="611"/>
    <xf numFmtId="0" fontId="135" fillId="78" borderId="0" xfId="30099" applyFont="1" applyFill="1" applyAlignment="1">
      <alignment vertical="top"/>
    </xf>
    <xf numFmtId="0" fontId="135" fillId="78" borderId="60" xfId="30099" applyFont="1" applyFill="1" applyBorder="1" applyAlignment="1">
      <alignment vertical="top"/>
    </xf>
    <xf numFmtId="0" fontId="134" fillId="78" borderId="0" xfId="30099" applyFont="1" applyFill="1" applyAlignment="1">
      <alignment vertical="top"/>
    </xf>
    <xf numFmtId="0" fontId="135" fillId="78" borderId="41" xfId="30099" applyFont="1" applyFill="1" applyBorder="1" applyAlignment="1"/>
    <xf numFmtId="0" fontId="135" fillId="78" borderId="42" xfId="30099" applyFont="1" applyFill="1" applyBorder="1" applyAlignment="1"/>
    <xf numFmtId="0" fontId="135" fillId="78" borderId="40" xfId="30099" applyFont="1" applyFill="1" applyBorder="1" applyAlignment="1">
      <alignment vertical="center"/>
    </xf>
    <xf numFmtId="0" fontId="212" fillId="78" borderId="15" xfId="30099" applyFont="1" applyFill="1" applyBorder="1" applyAlignment="1">
      <alignment horizontal="left" vertical="center"/>
    </xf>
    <xf numFmtId="170" fontId="0" fillId="0" borderId="0" xfId="439" applyNumberFormat="1" applyFont="1" applyFill="1"/>
    <xf numFmtId="0" fontId="40" fillId="78" borderId="86" xfId="0" applyFont="1" applyFill="1" applyBorder="1" applyAlignment="1">
      <alignment horizontal="left"/>
    </xf>
    <xf numFmtId="0" fontId="0" fillId="78" borderId="135" xfId="0" applyFill="1" applyBorder="1"/>
    <xf numFmtId="164" fontId="0" fillId="0" borderId="0" xfId="0" applyNumberFormat="1" applyFill="1"/>
    <xf numFmtId="43" fontId="0" fillId="0" borderId="0" xfId="0" applyNumberFormat="1" applyFill="1"/>
    <xf numFmtId="38" fontId="0" fillId="34" borderId="0" xfId="0" applyNumberFormat="1" applyFill="1" applyAlignment="1" applyProtection="1">
      <alignment vertical="center" wrapText="1"/>
      <protection locked="0"/>
    </xf>
    <xf numFmtId="0" fontId="0" fillId="34" borderId="25" xfId="0" applyNumberFormat="1" applyFont="1" applyFill="1" applyBorder="1" applyAlignment="1" applyProtection="1">
      <alignment horizontal="center" vertical="center" wrapText="1"/>
    </xf>
    <xf numFmtId="164" fontId="60" fillId="34" borderId="29" xfId="439" applyNumberFormat="1" applyFont="1" applyFill="1" applyBorder="1" applyAlignment="1" applyProtection="1">
      <alignment horizontal="center" vertical="center" wrapText="1"/>
    </xf>
    <xf numFmtId="14" fontId="0" fillId="0" borderId="0" xfId="0" applyNumberFormat="1" applyFont="1" applyProtection="1"/>
    <xf numFmtId="0" fontId="147" fillId="26" borderId="0" xfId="30099" applyFont="1" applyFill="1" applyAlignment="1">
      <alignment horizontal="right" vertical="center" wrapText="1"/>
    </xf>
    <xf numFmtId="0" fontId="156" fillId="26" borderId="0" xfId="30099" applyFont="1" applyFill="1" applyAlignment="1">
      <alignment horizontal="left" vertical="center" wrapText="1"/>
    </xf>
    <xf numFmtId="0" fontId="0" fillId="86" borderId="0" xfId="0" applyFill="1"/>
    <xf numFmtId="43" fontId="0" fillId="86" borderId="0" xfId="439" applyFont="1" applyFill="1"/>
    <xf numFmtId="2" fontId="0" fillId="86" borderId="0" xfId="439" applyNumberFormat="1" applyFont="1" applyFill="1"/>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1" fillId="74" borderId="113"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30" fillId="0" borderId="67" xfId="30099" applyFont="1" applyBorder="1" applyAlignment="1" applyProtection="1">
      <alignment horizontal="left" vertical="center"/>
      <protection locked="0"/>
    </xf>
    <xf numFmtId="0" fontId="130" fillId="0" borderId="68" xfId="30099" applyFont="1" applyBorder="1" applyAlignment="1" applyProtection="1">
      <alignment horizontal="left" vertical="center"/>
      <protection locked="0"/>
    </xf>
    <xf numFmtId="0" fontId="130" fillId="0" borderId="69" xfId="30099" applyFont="1" applyBorder="1" applyAlignment="1" applyProtection="1">
      <alignment horizontal="left" vertical="center"/>
      <protection locked="0"/>
    </xf>
    <xf numFmtId="0" fontId="150" fillId="26" borderId="0" xfId="30099" applyFont="1" applyFill="1" applyAlignment="1">
      <alignment horizontal="right" vertical="center" wrapText="1"/>
    </xf>
    <xf numFmtId="0" fontId="152" fillId="26" borderId="0" xfId="30099" applyFont="1" applyFill="1" applyAlignment="1">
      <alignment horizontal="center" vertical="center" wrapText="1"/>
    </xf>
    <xf numFmtId="0" fontId="142" fillId="26" borderId="0" xfId="30099" applyFont="1" applyFill="1" applyAlignment="1">
      <alignment horizontal="left" vertical="center" wrapText="1"/>
    </xf>
    <xf numFmtId="0" fontId="130" fillId="26" borderId="0" xfId="30099" applyFont="1" applyFill="1" applyAlignment="1">
      <alignment horizontal="left" vertical="center" wrapText="1"/>
    </xf>
    <xf numFmtId="0" fontId="130" fillId="26" borderId="60" xfId="30099" applyFont="1" applyFill="1" applyBorder="1" applyAlignment="1">
      <alignment horizontal="left" vertical="center" wrapText="1"/>
    </xf>
    <xf numFmtId="0" fontId="136" fillId="26" borderId="0" xfId="30099" applyFont="1" applyFill="1" applyAlignment="1">
      <alignment horizontal="left" wrapText="1"/>
    </xf>
    <xf numFmtId="0" fontId="136" fillId="26" borderId="60" xfId="30099" applyFont="1" applyFill="1" applyBorder="1" applyAlignment="1">
      <alignment horizontal="left" wrapText="1"/>
    </xf>
    <xf numFmtId="0" fontId="136" fillId="26" borderId="0" xfId="30099" applyFont="1" applyFill="1" applyBorder="1" applyAlignment="1">
      <alignment horizontal="left" wrapText="1"/>
    </xf>
    <xf numFmtId="0" fontId="130" fillId="26" borderId="0" xfId="30099" applyFont="1" applyFill="1" applyAlignment="1">
      <alignment horizontal="left" vertical="top" wrapText="1"/>
    </xf>
    <xf numFmtId="0" fontId="130" fillId="26" borderId="72" xfId="30099" applyFont="1" applyFill="1" applyBorder="1" applyAlignment="1">
      <alignment horizontal="left" vertical="center" wrapText="1"/>
    </xf>
    <xf numFmtId="0" fontId="146" fillId="26" borderId="41" xfId="30099" applyFont="1" applyFill="1" applyBorder="1" applyAlignment="1">
      <alignment horizontal="center" vertical="center" wrapText="1"/>
    </xf>
    <xf numFmtId="164" fontId="137" fillId="79" borderId="13" xfId="30100" applyNumberFormat="1" applyFont="1" applyFill="1" applyBorder="1" applyAlignment="1">
      <alignment horizontal="center" vertical="center" wrapText="1"/>
    </xf>
    <xf numFmtId="164" fontId="137" fillId="79" borderId="16" xfId="30100" applyNumberFormat="1" applyFont="1" applyFill="1" applyBorder="1" applyAlignment="1">
      <alignment horizontal="center" vertical="center" wrapText="1"/>
    </xf>
    <xf numFmtId="164" fontId="137" fillId="79" borderId="11" xfId="30100" applyNumberFormat="1" applyFont="1" applyFill="1" applyBorder="1" applyAlignment="1">
      <alignment horizontal="center" vertical="center" wrapText="1"/>
    </xf>
    <xf numFmtId="0" fontId="147" fillId="0" borderId="67" xfId="30099" applyFont="1" applyBorder="1" applyAlignment="1" applyProtection="1">
      <alignment horizontal="left" vertical="center"/>
      <protection locked="0"/>
    </xf>
    <xf numFmtId="0" fontId="147" fillId="0" borderId="68" xfId="30099" applyFont="1" applyBorder="1" applyAlignment="1" applyProtection="1">
      <alignment horizontal="left" vertical="center"/>
      <protection locked="0"/>
    </xf>
    <xf numFmtId="0" fontId="147" fillId="0" borderId="69" xfId="30099" applyFont="1" applyBorder="1" applyAlignment="1" applyProtection="1">
      <alignment horizontal="left" vertical="center"/>
      <protection locked="0"/>
    </xf>
    <xf numFmtId="0" fontId="144" fillId="26" borderId="0" xfId="30099" applyFont="1" applyFill="1" applyAlignment="1">
      <alignment horizontal="left" vertical="center" wrapText="1"/>
    </xf>
    <xf numFmtId="0" fontId="120" fillId="0" borderId="67" xfId="29597" applyFill="1" applyBorder="1" applyAlignment="1" applyProtection="1">
      <alignment horizontal="left" vertical="center"/>
      <protection locked="0"/>
    </xf>
    <xf numFmtId="0" fontId="130" fillId="0" borderId="13" xfId="30099" applyFont="1" applyBorder="1" applyAlignment="1" applyProtection="1">
      <alignment horizontal="left" vertical="center"/>
      <protection locked="0"/>
    </xf>
    <xf numFmtId="0" fontId="130" fillId="0" borderId="11" xfId="30099" applyFont="1" applyBorder="1" applyAlignment="1" applyProtection="1">
      <alignment horizontal="left" vertical="center"/>
      <protection locked="0"/>
    </xf>
    <xf numFmtId="0" fontId="146" fillId="26" borderId="0" xfId="30099" applyFont="1" applyFill="1" applyAlignment="1">
      <alignment horizontal="center" vertical="center" wrapText="1"/>
    </xf>
    <xf numFmtId="0" fontId="142" fillId="26" borderId="15" xfId="30099" applyFont="1" applyFill="1" applyBorder="1" applyAlignment="1">
      <alignment horizontal="center" vertical="top"/>
    </xf>
    <xf numFmtId="0" fontId="142" fillId="26" borderId="0" xfId="30099" applyFont="1" applyFill="1" applyAlignment="1">
      <alignment horizontal="center" vertical="top"/>
    </xf>
    <xf numFmtId="0" fontId="142" fillId="26" borderId="0" xfId="30099" applyFont="1" applyFill="1" applyAlignment="1">
      <alignment horizontal="center" vertical="top" wrapText="1"/>
    </xf>
    <xf numFmtId="0" fontId="130" fillId="26" borderId="0" xfId="30099" applyFont="1" applyFill="1" applyAlignment="1">
      <alignment horizontal="left" wrapText="1"/>
    </xf>
    <xf numFmtId="0" fontId="130" fillId="26" borderId="72" xfId="30099" applyFont="1" applyFill="1" applyBorder="1" applyAlignment="1">
      <alignment horizontal="left" wrapText="1"/>
    </xf>
    <xf numFmtId="0" fontId="131" fillId="78" borderId="13" xfId="30099" applyFont="1" applyFill="1" applyBorder="1" applyAlignment="1">
      <alignment horizontal="center" vertical="center" wrapText="1"/>
    </xf>
    <xf numFmtId="0" fontId="131" fillId="78" borderId="16" xfId="30099" applyFont="1" applyFill="1" applyBorder="1" applyAlignment="1">
      <alignment horizontal="center" vertical="center" wrapText="1"/>
    </xf>
    <xf numFmtId="0" fontId="131" fillId="78" borderId="11" xfId="30099" applyFont="1" applyFill="1" applyBorder="1" applyAlignment="1">
      <alignment horizontal="center" vertical="center" wrapText="1"/>
    </xf>
    <xf numFmtId="0" fontId="131" fillId="78" borderId="13" xfId="30099" applyFont="1" applyFill="1" applyBorder="1" applyAlignment="1">
      <alignment horizontal="center" vertical="top" wrapText="1"/>
    </xf>
    <xf numFmtId="0" fontId="131" fillId="78" borderId="16" xfId="30099" applyFont="1" applyFill="1" applyBorder="1" applyAlignment="1">
      <alignment horizontal="center" vertical="top" wrapText="1"/>
    </xf>
    <xf numFmtId="0" fontId="131" fillId="78" borderId="11" xfId="30099" applyFont="1" applyFill="1" applyBorder="1" applyAlignment="1">
      <alignment horizontal="center" vertical="top" wrapText="1"/>
    </xf>
    <xf numFmtId="164" fontId="133" fillId="79" borderId="13" xfId="30100" applyNumberFormat="1" applyFont="1" applyFill="1" applyBorder="1" applyAlignment="1">
      <alignment horizontal="center" vertical="center"/>
    </xf>
    <xf numFmtId="164" fontId="133" fillId="79" borderId="16" xfId="30100" applyNumberFormat="1" applyFont="1" applyFill="1" applyBorder="1" applyAlignment="1">
      <alignment horizontal="center" vertical="center"/>
    </xf>
    <xf numFmtId="164" fontId="133" fillId="79" borderId="11" xfId="30100" applyNumberFormat="1" applyFont="1" applyFill="1" applyBorder="1" applyAlignment="1">
      <alignment horizontal="center" vertic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1" fillId="34" borderId="137" xfId="0" applyFont="1" applyFill="1" applyBorder="1" applyAlignment="1">
      <alignment horizontal="center" vertical="center" wrapText="1"/>
    </xf>
    <xf numFmtId="0" fontId="61" fillId="34" borderId="138" xfId="0" applyFont="1" applyFill="1" applyBorder="1" applyAlignment="1">
      <alignment horizontal="center" vertical="center" wrapText="1"/>
    </xf>
    <xf numFmtId="0" fontId="61" fillId="34" borderId="139" xfId="0" applyFont="1" applyFill="1" applyBorder="1" applyAlignment="1">
      <alignment horizontal="center" vertical="center" wrapText="1"/>
    </xf>
    <xf numFmtId="0" fontId="0" fillId="78" borderId="136"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85" xfId="0" applyFont="1" applyBorder="1" applyAlignment="1">
      <alignment horizontal="center" vertical="center"/>
    </xf>
    <xf numFmtId="0" fontId="40" fillId="0" borderId="140" xfId="0" applyFont="1" applyBorder="1" applyAlignment="1">
      <alignment horizontal="center" vertical="center"/>
    </xf>
    <xf numFmtId="0" fontId="50" fillId="0" borderId="85" xfId="0" applyFont="1" applyBorder="1" applyAlignment="1">
      <alignment horizontal="center" vertical="center"/>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61" fillId="0" borderId="37" xfId="0" applyFont="1" applyBorder="1" applyAlignment="1">
      <alignment horizontal="center" wrapText="1"/>
    </xf>
    <xf numFmtId="0" fontId="61" fillId="0" borderId="38" xfId="0" applyFont="1" applyBorder="1" applyAlignment="1">
      <alignment horizontal="center" wrapText="1"/>
    </xf>
    <xf numFmtId="0" fontId="61" fillId="0" borderId="39" xfId="0" applyFont="1" applyBorder="1" applyAlignment="1">
      <alignment horizontal="center" wrapText="1"/>
    </xf>
    <xf numFmtId="0" fontId="61" fillId="0" borderId="15" xfId="0" applyFont="1" applyBorder="1" applyAlignment="1">
      <alignment horizontal="center" wrapText="1"/>
    </xf>
    <xf numFmtId="0" fontId="61" fillId="0" borderId="0" xfId="0" applyFont="1" applyAlignment="1">
      <alignment horizontal="center" wrapText="1"/>
    </xf>
    <xf numFmtId="0" fontId="61"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3"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1"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1" fillId="78" borderId="13" xfId="0" applyFont="1" applyFill="1" applyBorder="1" applyAlignment="1">
      <alignment horizontal="left" wrapText="1"/>
    </xf>
    <xf numFmtId="0" fontId="61" fillId="78" borderId="16" xfId="0" applyFont="1" applyFill="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61" fillId="78" borderId="129" xfId="0" applyFont="1" applyFill="1" applyBorder="1" applyAlignment="1">
      <alignment horizontal="left" wrapText="1"/>
    </xf>
    <xf numFmtId="0" fontId="40" fillId="78" borderId="57" xfId="0" applyFont="1" applyFill="1" applyBorder="1" applyAlignment="1">
      <alignment horizontal="left"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163" fillId="73" borderId="71" xfId="0" applyFont="1" applyFill="1" applyBorder="1" applyAlignment="1">
      <alignment horizontal="center" vertical="center" wrapText="1"/>
    </xf>
    <xf numFmtId="0" fontId="163" fillId="73" borderId="123"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3"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3" xfId="0" applyFill="1" applyBorder="1" applyAlignment="1">
      <alignment horizontal="center" vertical="center" wrapText="1"/>
    </xf>
    <xf numFmtId="0" fontId="0" fillId="0" borderId="73" xfId="0" applyFill="1" applyBorder="1" applyAlignment="1">
      <alignment horizontal="center" vertic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40" fillId="78" borderId="57" xfId="0" applyFont="1" applyFill="1" applyBorder="1" applyAlignment="1">
      <alignment horizontal="left" vertical="center" wrapText="1"/>
    </xf>
    <xf numFmtId="0" fontId="61" fillId="78" borderId="11" xfId="0" applyFont="1" applyFill="1" applyBorder="1" applyAlignment="1">
      <alignment horizontal="left" wrapText="1"/>
    </xf>
    <xf numFmtId="0" fontId="40" fillId="78" borderId="108" xfId="0" applyFont="1" applyFill="1" applyBorder="1" applyAlignment="1">
      <alignment horizontal="left" wrapText="1"/>
    </xf>
    <xf numFmtId="0" fontId="40" fillId="78" borderId="104"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5"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5"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09" xfId="0" applyFont="1" applyFill="1" applyBorder="1" applyAlignment="1">
      <alignment horizontal="center" vertical="center" wrapText="1"/>
    </xf>
    <xf numFmtId="0" fontId="164" fillId="73" borderId="110" xfId="0" applyFont="1" applyFill="1" applyBorder="1" applyAlignment="1">
      <alignment horizontal="center"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0" xfId="30099" applyFont="1" applyAlignment="1">
      <alignment horizontal="center" vertical="top" wrapText="1"/>
    </xf>
    <xf numFmtId="0" fontId="46" fillId="0" borderId="0" xfId="30099" applyFont="1" applyAlignment="1">
      <alignment horizontal="left" vertical="top" wrapText="1" indent="4"/>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1" fillId="0" borderId="0" xfId="26000" applyFont="1" applyAlignment="1" applyProtection="1">
      <alignment horizontal="center" vertical="top"/>
    </xf>
    <xf numFmtId="0" fontId="61" fillId="0" borderId="0" xfId="26000" applyFont="1" applyAlignment="1" applyProtection="1">
      <alignment horizontal="center"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8" xfId="26000" applyFont="1" applyBorder="1" applyAlignment="1" applyProtection="1">
      <alignment horizontal="left" vertical="top" wrapText="1"/>
    </xf>
    <xf numFmtId="0" fontId="61" fillId="0" borderId="41" xfId="26000" applyFont="1" applyBorder="1" applyAlignment="1" applyProtection="1">
      <alignment horizontal="left"/>
    </xf>
  </cellXfs>
  <cellStyles count="3172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val="0"/>
        <i/>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7"/>
      <tableStyleElement type="headerRow" dxfId="136"/>
      <tableStyleElement type="firstRowStripe" dxfId="135"/>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1943096</xdr:colOff>
      <xdr:row>46</xdr:row>
      <xdr:rowOff>238125</xdr:rowOff>
    </xdr:from>
    <xdr:to>
      <xdr:col>5</xdr:col>
      <xdr:colOff>3497576</xdr:colOff>
      <xdr:row>51</xdr:row>
      <xdr:rowOff>104775</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38821" y="4762500"/>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929D-D691-4D6E-B738-83253BDC05A4}">
  <sheetPr>
    <tabColor theme="4" tint="0.79998168889431442"/>
  </sheetPr>
  <dimension ref="B1:N58"/>
  <sheetViews>
    <sheetView zoomScaleNormal="100" workbookViewId="0">
      <selection activeCell="B2" sqref="B2"/>
    </sheetView>
  </sheetViews>
  <sheetFormatPr defaultColWidth="9.109375" defaultRowHeight="14.4" x14ac:dyDescent="0.3"/>
  <cols>
    <col min="1" max="1" width="1.6640625" style="270" customWidth="1"/>
    <col min="2" max="2" width="187.109375" style="270" customWidth="1"/>
    <col min="3" max="4" width="9.109375" style="270" hidden="1" customWidth="1"/>
    <col min="5" max="5" width="2.33203125" style="270" customWidth="1"/>
    <col min="6" max="6" width="8.109375" style="270" customWidth="1"/>
    <col min="7" max="16384" width="9.109375" style="270"/>
  </cols>
  <sheetData>
    <row r="1" spans="2:14" ht="9.6" customHeight="1" thickBot="1" x14ac:dyDescent="0.35">
      <c r="B1" s="177"/>
    </row>
    <row r="2" spans="2:14" ht="97.95" customHeight="1" thickBot="1" x14ac:dyDescent="0.35">
      <c r="B2" s="1144" t="s">
        <v>1804</v>
      </c>
    </row>
    <row r="3" spans="2:14" ht="58.2" customHeight="1" x14ac:dyDescent="0.3">
      <c r="B3" s="188" t="s">
        <v>1817</v>
      </c>
    </row>
    <row r="4" spans="2:14" ht="74.400000000000006" customHeight="1" x14ac:dyDescent="0.4">
      <c r="B4" s="188" t="s">
        <v>1828</v>
      </c>
      <c r="F4" s="1159"/>
      <c r="G4" s="1159"/>
      <c r="H4" s="1159"/>
      <c r="I4" s="1159"/>
      <c r="J4" s="1159"/>
      <c r="K4" s="1159"/>
      <c r="L4" s="1159"/>
      <c r="M4" s="1159"/>
      <c r="N4" s="1159"/>
    </row>
    <row r="5" spans="2:14" ht="49.2" customHeight="1" x14ac:dyDescent="0.3">
      <c r="B5" s="188" t="s">
        <v>1818</v>
      </c>
    </row>
    <row r="6" spans="2:14" ht="114.6" customHeight="1" x14ac:dyDescent="0.3">
      <c r="B6" s="178" t="s">
        <v>1819</v>
      </c>
    </row>
    <row r="7" spans="2:14" ht="25.95" customHeight="1" x14ac:dyDescent="0.3">
      <c r="B7" s="190" t="s">
        <v>855</v>
      </c>
    </row>
    <row r="8" spans="2:14" ht="43.2" customHeight="1" x14ac:dyDescent="0.3">
      <c r="B8" s="1145" t="s">
        <v>1820</v>
      </c>
    </row>
    <row r="9" spans="2:14" ht="37.950000000000003" customHeight="1" x14ac:dyDescent="0.3">
      <c r="B9" s="1145" t="s">
        <v>856</v>
      </c>
    </row>
    <row r="10" spans="2:14" s="1146" customFormat="1" ht="28.95" customHeight="1" x14ac:dyDescent="0.3">
      <c r="B10" s="1147" t="s">
        <v>857</v>
      </c>
    </row>
    <row r="11" spans="2:14" s="1146" customFormat="1" ht="48" customHeight="1" x14ac:dyDescent="0.3">
      <c r="B11" s="1148" t="s">
        <v>1821</v>
      </c>
    </row>
    <row r="12" spans="2:14" ht="30" x14ac:dyDescent="0.3">
      <c r="B12" s="1148" t="s">
        <v>1822</v>
      </c>
    </row>
    <row r="13" spans="2:14" ht="21" customHeight="1" x14ac:dyDescent="0.3">
      <c r="B13" s="1149" t="s">
        <v>1805</v>
      </c>
    </row>
    <row r="14" spans="2:14" ht="25.95" customHeight="1" x14ac:dyDescent="0.3">
      <c r="B14" s="190" t="s">
        <v>858</v>
      </c>
    </row>
    <row r="15" spans="2:14" x14ac:dyDescent="0.3">
      <c r="B15" s="177"/>
    </row>
    <row r="16" spans="2:14" x14ac:dyDescent="0.3">
      <c r="B16" s="1150" t="s">
        <v>37</v>
      </c>
    </row>
    <row r="17" spans="2:2" ht="15.6" customHeight="1" x14ac:dyDescent="0.3">
      <c r="B17" s="1151" t="s">
        <v>1806</v>
      </c>
    </row>
    <row r="18" spans="2:2" x14ac:dyDescent="0.3">
      <c r="B18" s="1152"/>
    </row>
    <row r="19" spans="2:2" x14ac:dyDescent="0.3">
      <c r="B19" s="1150" t="s">
        <v>38</v>
      </c>
    </row>
    <row r="20" spans="2:2" ht="15.6" customHeight="1" x14ac:dyDescent="0.3">
      <c r="B20" s="1153" t="s">
        <v>674</v>
      </c>
    </row>
    <row r="21" spans="2:2" ht="13.2" customHeight="1" x14ac:dyDescent="0.3">
      <c r="B21" s="177"/>
    </row>
    <row r="22" spans="2:2" ht="25.95" customHeight="1" x14ac:dyDescent="0.3">
      <c r="B22" s="190" t="s">
        <v>859</v>
      </c>
    </row>
    <row r="23" spans="2:2" s="1146" customFormat="1" ht="60" customHeight="1" x14ac:dyDescent="0.3">
      <c r="B23" s="1145" t="s">
        <v>1823</v>
      </c>
    </row>
    <row r="24" spans="2:2" s="1146" customFormat="1" ht="70.95" customHeight="1" x14ac:dyDescent="0.3">
      <c r="B24" s="1145" t="s">
        <v>1824</v>
      </c>
    </row>
    <row r="25" spans="2:2" s="1146" customFormat="1" ht="72" customHeight="1" x14ac:dyDescent="0.3">
      <c r="B25" s="1145" t="s">
        <v>860</v>
      </c>
    </row>
    <row r="26" spans="2:2" ht="15" x14ac:dyDescent="0.3">
      <c r="B26" s="180" t="s">
        <v>1807</v>
      </c>
    </row>
    <row r="27" spans="2:2" ht="8.4" customHeight="1" x14ac:dyDescent="0.3">
      <c r="B27" s="179"/>
    </row>
    <row r="28" spans="2:2" ht="25.95" customHeight="1" x14ac:dyDescent="0.3">
      <c r="B28" s="190" t="s">
        <v>1808</v>
      </c>
    </row>
    <row r="29" spans="2:2" ht="17.399999999999999" customHeight="1" x14ac:dyDescent="0.3">
      <c r="B29" s="191" t="s">
        <v>1809</v>
      </c>
    </row>
    <row r="30" spans="2:2" ht="17.399999999999999" customHeight="1" x14ac:dyDescent="0.3">
      <c r="B30" s="191" t="s">
        <v>1810</v>
      </c>
    </row>
    <row r="31" spans="2:2" ht="22.95" customHeight="1" x14ac:dyDescent="0.3">
      <c r="B31" s="1154" t="s">
        <v>1811</v>
      </c>
    </row>
    <row r="32" spans="2:2" ht="20.399999999999999" customHeight="1" x14ac:dyDescent="0.3">
      <c r="B32" s="1154" t="s">
        <v>1812</v>
      </c>
    </row>
    <row r="33" spans="2:7" ht="21" customHeight="1" x14ac:dyDescent="0.3">
      <c r="B33" s="1155" t="s">
        <v>1813</v>
      </c>
    </row>
    <row r="34" spans="2:7" ht="25.95" customHeight="1" x14ac:dyDescent="0.3">
      <c r="B34" s="1156" t="s">
        <v>1814</v>
      </c>
    </row>
    <row r="35" spans="2:7" ht="49.2" customHeight="1" x14ac:dyDescent="0.3">
      <c r="B35" s="191" t="s">
        <v>1825</v>
      </c>
    </row>
    <row r="36" spans="2:7" ht="25.95" customHeight="1" x14ac:dyDescent="0.3">
      <c r="B36" s="191" t="s">
        <v>1815</v>
      </c>
    </row>
    <row r="37" spans="2:7" ht="12" customHeight="1" x14ac:dyDescent="0.3">
      <c r="B37" s="191"/>
    </row>
    <row r="38" spans="2:7" ht="25.95" customHeight="1" x14ac:dyDescent="0.3">
      <c r="B38" s="190" t="s">
        <v>1124</v>
      </c>
    </row>
    <row r="39" spans="2:7" x14ac:dyDescent="0.3">
      <c r="B39" s="189"/>
      <c r="G39" s="1160"/>
    </row>
    <row r="40" spans="2:7" ht="34.950000000000003" customHeight="1" x14ac:dyDescent="0.3">
      <c r="B40" s="1157" t="s">
        <v>1816</v>
      </c>
    </row>
    <row r="41" spans="2:7" ht="19.95" customHeight="1" x14ac:dyDescent="0.3">
      <c r="B41" s="1158" t="s">
        <v>1805</v>
      </c>
    </row>
    <row r="42" spans="2:7" ht="11.4" customHeight="1" x14ac:dyDescent="0.3">
      <c r="B42" s="192"/>
    </row>
    <row r="43" spans="2:7" ht="15" x14ac:dyDescent="0.3">
      <c r="B43" s="193"/>
    </row>
    <row r="44" spans="2:7" ht="7.2" customHeight="1" x14ac:dyDescent="0.3">
      <c r="B44" s="191"/>
    </row>
    <row r="45" spans="2:7" ht="25.95" customHeight="1" x14ac:dyDescent="0.3">
      <c r="B45" s="190" t="s">
        <v>1125</v>
      </c>
    </row>
    <row r="46" spans="2:7" ht="35.4" customHeight="1" x14ac:dyDescent="0.3">
      <c r="B46" s="1157" t="s">
        <v>1826</v>
      </c>
    </row>
    <row r="47" spans="2:7" ht="15" x14ac:dyDescent="0.3">
      <c r="B47" s="193"/>
    </row>
    <row r="58" ht="44.25" customHeight="1" x14ac:dyDescent="0.3"/>
  </sheetData>
  <sheetProtection algorithmName="SHA-512" hashValue="vJGrkCW5Lk6FzD2q05qZI5CuIe80WBzW36bzgkcVfcPTM8Ex5yfg6Km+XK5RmeXTSSGvSDc8PDLeBgBOpC0pDg==" saltValue="094YV/nm2/nvg+Ot5w95/Q==" spinCount="100000" sheet="1" formatCells="0" formatColumns="0" formatRows="0"/>
  <hyperlinks>
    <hyperlink ref="B17" r:id="rId1" xr:uid="{B031042F-551F-420F-B749-9DFA2F6FFE2B}"/>
    <hyperlink ref="B20" r:id="rId2" xr:uid="{D0E3513D-A591-47DB-8C02-292E72E32DF6}"/>
    <hyperlink ref="B41" r:id="rId3" xr:uid="{2F1C2616-E1A0-49DB-A6F3-0B507357493A}"/>
    <hyperlink ref="B13" r:id="rId4" xr:uid="{683CE821-3D24-408A-ACF9-2099B7FFD9BA}"/>
  </hyperlinks>
  <pageMargins left="0.7" right="0.7" top="0.75" bottom="0.75" header="0.3" footer="0.3"/>
  <pageSetup scale="90"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R413"/>
  <sheetViews>
    <sheetView zoomScale="91" zoomScaleNormal="91" workbookViewId="0">
      <pane xSplit="5" ySplit="1" topLeftCell="F2" activePane="bottomRight" state="frozen"/>
      <selection pane="topRight" activeCell="F1" sqref="F1"/>
      <selection pane="bottomLeft" activeCell="A2" sqref="A2"/>
      <selection pane="bottomRight" activeCell="B364" sqref="B364"/>
    </sheetView>
  </sheetViews>
  <sheetFormatPr defaultColWidth="9.109375" defaultRowHeight="14.4" x14ac:dyDescent="0.3"/>
  <cols>
    <col min="1" max="1" width="5.33203125" style="99" customWidth="1"/>
    <col min="2" max="2" width="17.44140625" style="314" customWidth="1"/>
    <col min="3" max="3" width="16.5546875" style="99" customWidth="1"/>
    <col min="4" max="4" width="27.6640625" style="99" customWidth="1"/>
    <col min="5" max="5" width="14.44140625" style="99" bestFit="1" customWidth="1"/>
    <col min="6" max="6" width="15.5546875" style="99" bestFit="1" customWidth="1"/>
    <col min="7" max="7" width="17.6640625" style="99" customWidth="1"/>
    <col min="8" max="8" width="17" style="99" bestFit="1" customWidth="1"/>
    <col min="9" max="9" width="15.5546875" style="99" bestFit="1" customWidth="1"/>
    <col min="10" max="10" width="16.5546875" style="99" customWidth="1"/>
    <col min="11" max="11" width="15.44140625" style="99" bestFit="1" customWidth="1"/>
    <col min="12" max="12" width="18.33203125" style="99" customWidth="1"/>
    <col min="13" max="13" width="17" style="99" bestFit="1" customWidth="1"/>
    <col min="14" max="14" width="13.44140625" style="99" bestFit="1" customWidth="1"/>
    <col min="15" max="15" width="14.44140625" style="99" bestFit="1" customWidth="1"/>
    <col min="16" max="16" width="15.5546875" style="99" bestFit="1" customWidth="1"/>
    <col min="17" max="17" width="15.88671875" style="99" bestFit="1" customWidth="1"/>
    <col min="18" max="19" width="15.5546875" style="99" bestFit="1" customWidth="1"/>
    <col min="20" max="20" width="16.5546875" style="99" bestFit="1" customWidth="1"/>
    <col min="21" max="21" width="17.5546875" style="99" customWidth="1"/>
    <col min="22" max="22" width="17" style="99" bestFit="1" customWidth="1"/>
    <col min="23" max="23" width="21" style="99" customWidth="1"/>
    <col min="24" max="24" width="15.44140625" style="99" bestFit="1" customWidth="1"/>
    <col min="25" max="25" width="15.88671875" style="99" bestFit="1" customWidth="1"/>
    <col min="26" max="28" width="15.5546875" style="99" bestFit="1" customWidth="1"/>
    <col min="29" max="29" width="20" style="99" customWidth="1"/>
    <col min="30" max="30" width="14" style="99" bestFit="1" customWidth="1"/>
    <col min="31" max="32" width="15.5546875" style="99" bestFit="1" customWidth="1"/>
    <col min="33" max="33" width="16" style="99" customWidth="1"/>
    <col min="34" max="34" width="15.5546875" style="99" customWidth="1"/>
    <col min="35" max="35" width="19.33203125" style="99" customWidth="1"/>
    <col min="36" max="36" width="14.44140625" style="99" bestFit="1" customWidth="1"/>
    <col min="37" max="37" width="16.5546875" style="99" bestFit="1" customWidth="1"/>
    <col min="38" max="38" width="18.88671875" style="99" customWidth="1"/>
    <col min="39" max="39" width="17.6640625" style="99" customWidth="1"/>
    <col min="40" max="41" width="15.5546875" style="99" bestFit="1" customWidth="1"/>
    <col min="42" max="42" width="14.44140625" style="99" bestFit="1" customWidth="1"/>
    <col min="43" max="43" width="15.44140625" style="99" bestFit="1" customWidth="1"/>
    <col min="44" max="44" width="17" style="99" bestFit="1" customWidth="1"/>
    <col min="45" max="45" width="15.5546875" style="99" bestFit="1" customWidth="1"/>
    <col min="46" max="46" width="14.44140625" style="99" bestFit="1" customWidth="1"/>
    <col min="47" max="47" width="15.5546875" style="99" bestFit="1" customWidth="1"/>
    <col min="48" max="48" width="16.5546875" style="99" bestFit="1" customWidth="1"/>
    <col min="49" max="49" width="14.44140625" style="99" bestFit="1" customWidth="1"/>
    <col min="50" max="50" width="19.33203125" style="99" customWidth="1"/>
    <col min="51" max="51" width="15.5546875" style="99" bestFit="1" customWidth="1"/>
    <col min="52" max="52" width="22" style="99" customWidth="1"/>
    <col min="53" max="53" width="15.5546875" style="99" bestFit="1" customWidth="1"/>
    <col min="54" max="54" width="15.44140625" style="99" customWidth="1"/>
    <col min="55" max="55" width="15.5546875" style="99" bestFit="1" customWidth="1"/>
    <col min="56" max="56" width="16.33203125" style="99" customWidth="1"/>
    <col min="57" max="57" width="18.44140625" style="99" customWidth="1"/>
    <col min="58" max="58" width="17" style="99" bestFit="1" customWidth="1"/>
    <col min="59" max="59" width="16.6640625" style="99" customWidth="1"/>
    <col min="60" max="60" width="19.44140625" style="99" customWidth="1"/>
    <col min="61" max="61" width="21.44140625" style="99" customWidth="1"/>
    <col min="62" max="62" width="15.44140625" style="99" bestFit="1" customWidth="1"/>
    <col min="63" max="63" width="18.5546875" style="99" customWidth="1"/>
    <col min="64" max="65" width="15.5546875" style="99" bestFit="1" customWidth="1"/>
    <col min="66" max="66" width="19.33203125" style="99" customWidth="1"/>
    <col min="67" max="67" width="15.5546875" style="99" bestFit="1" customWidth="1"/>
    <col min="68" max="68" width="15.44140625" style="99" bestFit="1" customWidth="1"/>
    <col min="69" max="69" width="14.88671875" style="99" bestFit="1" customWidth="1"/>
    <col min="70" max="70" width="16.33203125" style="99" bestFit="1" customWidth="1"/>
    <col min="71" max="71" width="14.88671875" style="99" bestFit="1" customWidth="1"/>
    <col min="72" max="72" width="17" style="99" bestFit="1" customWidth="1"/>
    <col min="73" max="96" width="19.33203125" style="99" customWidth="1"/>
    <col min="97" max="16384" width="9.109375" style="99"/>
  </cols>
  <sheetData>
    <row r="1" spans="1:96" s="404" customFormat="1" x14ac:dyDescent="0.3">
      <c r="A1" s="404" t="s">
        <v>566</v>
      </c>
      <c r="B1" s="405" t="s">
        <v>1790</v>
      </c>
      <c r="C1" s="404" t="s">
        <v>1765</v>
      </c>
      <c r="E1" s="404" t="s">
        <v>1765</v>
      </c>
      <c r="F1" s="404" t="s">
        <v>1693</v>
      </c>
      <c r="G1" s="404" t="s">
        <v>1694</v>
      </c>
      <c r="H1" s="404" t="s">
        <v>1695</v>
      </c>
      <c r="I1" s="404" t="s">
        <v>1619</v>
      </c>
      <c r="J1" s="404" t="s">
        <v>1696</v>
      </c>
      <c r="K1" s="404" t="s">
        <v>1697</v>
      </c>
      <c r="L1" s="404" t="s">
        <v>1698</v>
      </c>
      <c r="M1" s="404" t="s">
        <v>1699</v>
      </c>
      <c r="N1" s="404" t="s">
        <v>1700</v>
      </c>
      <c r="O1" s="404" t="s">
        <v>1701</v>
      </c>
      <c r="P1" s="404" t="s">
        <v>1702</v>
      </c>
      <c r="Q1" s="404" t="s">
        <v>1620</v>
      </c>
      <c r="R1" s="404" t="s">
        <v>1703</v>
      </c>
      <c r="S1" s="404" t="s">
        <v>1704</v>
      </c>
      <c r="T1" s="404" t="s">
        <v>1705</v>
      </c>
      <c r="U1" s="404" t="s">
        <v>1706</v>
      </c>
      <c r="V1" s="404" t="s">
        <v>1707</v>
      </c>
      <c r="W1" s="404" t="s">
        <v>1708</v>
      </c>
      <c r="X1" s="404" t="s">
        <v>1709</v>
      </c>
      <c r="Y1" s="404" t="s">
        <v>1710</v>
      </c>
      <c r="Z1" s="404" t="s">
        <v>1621</v>
      </c>
      <c r="AA1" s="404" t="s">
        <v>1711</v>
      </c>
      <c r="AB1" s="404" t="s">
        <v>1712</v>
      </c>
      <c r="AC1" s="404" t="s">
        <v>1003</v>
      </c>
      <c r="AD1" s="404" t="s">
        <v>1004</v>
      </c>
      <c r="AE1" s="404" t="s">
        <v>1622</v>
      </c>
      <c r="AF1" s="404" t="s">
        <v>1713</v>
      </c>
      <c r="AG1" s="404" t="s">
        <v>1714</v>
      </c>
      <c r="AH1" s="404" t="s">
        <v>1715</v>
      </c>
      <c r="AI1" s="404" t="s">
        <v>1716</v>
      </c>
      <c r="AJ1" s="404" t="s">
        <v>1717</v>
      </c>
      <c r="AK1" s="404" t="s">
        <v>1718</v>
      </c>
      <c r="AL1" s="404" t="s">
        <v>1719</v>
      </c>
      <c r="AM1" s="404" t="s">
        <v>1720</v>
      </c>
      <c r="AN1" s="404" t="s">
        <v>1005</v>
      </c>
      <c r="AO1" s="404" t="s">
        <v>1721</v>
      </c>
      <c r="AP1" s="404" t="s">
        <v>1722</v>
      </c>
      <c r="AQ1" s="404" t="s">
        <v>1723</v>
      </c>
      <c r="AR1" s="404" t="s">
        <v>1007</v>
      </c>
      <c r="AS1" s="404" t="s">
        <v>1724</v>
      </c>
      <c r="AT1" s="404" t="s">
        <v>1725</v>
      </c>
      <c r="AU1" s="404" t="s">
        <v>1008</v>
      </c>
      <c r="AV1" s="404" t="s">
        <v>1623</v>
      </c>
      <c r="AW1" s="404" t="s">
        <v>1726</v>
      </c>
      <c r="AX1" s="404" t="s">
        <v>1727</v>
      </c>
      <c r="AY1" s="404" t="s">
        <v>1728</v>
      </c>
      <c r="AZ1" s="404" t="s">
        <v>772</v>
      </c>
      <c r="BA1" s="404" t="s">
        <v>1729</v>
      </c>
      <c r="BB1" s="404" t="s">
        <v>1730</v>
      </c>
      <c r="BC1" s="404" t="s">
        <v>1731</v>
      </c>
      <c r="BD1" s="404" t="s">
        <v>1732</v>
      </c>
      <c r="BE1" s="404" t="s">
        <v>1624</v>
      </c>
      <c r="BF1" s="404" t="s">
        <v>1733</v>
      </c>
      <c r="BG1" s="404" t="s">
        <v>1625</v>
      </c>
      <c r="BH1" s="404" t="s">
        <v>1734</v>
      </c>
      <c r="BI1" s="404" t="s">
        <v>1735</v>
      </c>
      <c r="BJ1" s="404" t="s">
        <v>1736</v>
      </c>
      <c r="BK1" s="404" t="s">
        <v>1737</v>
      </c>
      <c r="BL1" s="404" t="s">
        <v>1738</v>
      </c>
      <c r="BM1" s="404" t="s">
        <v>1739</v>
      </c>
      <c r="BN1" s="404" t="s">
        <v>1740</v>
      </c>
      <c r="BO1" s="404" t="s">
        <v>1741</v>
      </c>
      <c r="BP1" s="404" t="s">
        <v>1742</v>
      </c>
      <c r="BQ1" s="404" t="s">
        <v>1743</v>
      </c>
      <c r="BR1" s="404" t="s">
        <v>1744</v>
      </c>
      <c r="BS1" s="404" t="s">
        <v>1745</v>
      </c>
      <c r="BT1" s="404" t="s">
        <v>1746</v>
      </c>
      <c r="BU1" s="404" t="s">
        <v>1747</v>
      </c>
      <c r="BV1" s="404" t="s">
        <v>1748</v>
      </c>
      <c r="BW1" s="404" t="s">
        <v>1009</v>
      </c>
      <c r="BX1" s="404" t="s">
        <v>1626</v>
      </c>
      <c r="BY1" s="404" t="s">
        <v>1749</v>
      </c>
      <c r="BZ1" s="404" t="s">
        <v>1750</v>
      </c>
      <c r="CA1" s="404" t="s">
        <v>1010</v>
      </c>
      <c r="CB1" s="404" t="s">
        <v>1751</v>
      </c>
      <c r="CC1" s="404" t="s">
        <v>773</v>
      </c>
      <c r="CD1" s="404" t="s">
        <v>1752</v>
      </c>
      <c r="CE1" s="404" t="s">
        <v>1753</v>
      </c>
      <c r="CF1" s="404" t="s">
        <v>1754</v>
      </c>
      <c r="CG1" s="404" t="s">
        <v>1755</v>
      </c>
      <c r="CH1" s="404" t="s">
        <v>1756</v>
      </c>
      <c r="CI1" s="404" t="s">
        <v>774</v>
      </c>
      <c r="CJ1" s="404" t="s">
        <v>1757</v>
      </c>
      <c r="CK1" s="404" t="s">
        <v>1627</v>
      </c>
      <c r="CL1" s="404" t="s">
        <v>1758</v>
      </c>
      <c r="CM1" s="404" t="s">
        <v>1759</v>
      </c>
      <c r="CN1" s="404" t="s">
        <v>1760</v>
      </c>
      <c r="CO1" s="404" t="s">
        <v>1761</v>
      </c>
      <c r="CP1" s="404" t="s">
        <v>1628</v>
      </c>
      <c r="CQ1" s="404" t="s">
        <v>1762</v>
      </c>
      <c r="CR1" s="404" t="s">
        <v>1763</v>
      </c>
    </row>
    <row r="2" spans="1:96" s="404" customFormat="1" x14ac:dyDescent="0.3">
      <c r="B2" s="405"/>
      <c r="E2" s="404" t="s">
        <v>296</v>
      </c>
      <c r="F2" s="404">
        <v>50372</v>
      </c>
      <c r="G2" s="404">
        <v>50457</v>
      </c>
      <c r="H2" s="404">
        <v>50373</v>
      </c>
      <c r="I2" s="404">
        <v>50374</v>
      </c>
      <c r="J2" s="404">
        <v>50375</v>
      </c>
      <c r="K2" s="404">
        <v>50376</v>
      </c>
      <c r="L2" s="404">
        <v>50377</v>
      </c>
      <c r="M2" s="404">
        <v>50378</v>
      </c>
      <c r="N2" s="404">
        <v>50379</v>
      </c>
      <c r="O2" s="404">
        <v>50530</v>
      </c>
      <c r="P2" s="404">
        <v>50380</v>
      </c>
      <c r="Q2" s="404">
        <v>50483</v>
      </c>
      <c r="R2" s="404">
        <v>50381</v>
      </c>
      <c r="S2" s="404">
        <v>50501</v>
      </c>
      <c r="T2" s="404">
        <v>50494</v>
      </c>
      <c r="U2" s="404">
        <v>50382</v>
      </c>
      <c r="V2" s="404">
        <v>50383</v>
      </c>
      <c r="W2" s="404">
        <v>50384</v>
      </c>
      <c r="X2" s="404">
        <v>50557</v>
      </c>
      <c r="Y2" s="404">
        <v>50385</v>
      </c>
      <c r="Z2" s="404">
        <v>50386</v>
      </c>
      <c r="AA2" s="404">
        <v>50388</v>
      </c>
      <c r="AB2" s="404">
        <v>50387</v>
      </c>
      <c r="AC2" s="404">
        <v>50389</v>
      </c>
      <c r="AD2" s="404">
        <v>50500</v>
      </c>
      <c r="AE2" s="404">
        <v>50390</v>
      </c>
      <c r="AF2" s="404">
        <v>50391</v>
      </c>
      <c r="AG2" s="404">
        <v>50531</v>
      </c>
      <c r="AH2" s="404">
        <v>50392</v>
      </c>
      <c r="AI2" s="404">
        <v>50458</v>
      </c>
      <c r="AJ2" s="404">
        <v>50393</v>
      </c>
      <c r="AK2" s="404">
        <v>50544</v>
      </c>
      <c r="AL2" s="404">
        <v>50394</v>
      </c>
      <c r="AM2" s="404">
        <v>50395</v>
      </c>
      <c r="AN2" s="404">
        <v>50396</v>
      </c>
      <c r="AO2" s="404">
        <v>50397</v>
      </c>
      <c r="AP2" s="404">
        <v>50550</v>
      </c>
      <c r="AQ2" s="404">
        <v>50398</v>
      </c>
      <c r="AR2" s="404">
        <v>50399</v>
      </c>
      <c r="AS2" s="404">
        <v>50400</v>
      </c>
      <c r="AT2" s="404">
        <v>50532</v>
      </c>
      <c r="AU2" s="404">
        <v>50401</v>
      </c>
      <c r="AV2" s="404">
        <v>50402</v>
      </c>
      <c r="AW2" s="404">
        <v>50485</v>
      </c>
      <c r="AX2" s="404">
        <v>50403</v>
      </c>
      <c r="AY2" s="404">
        <v>50404</v>
      </c>
      <c r="AZ2" s="404">
        <v>50405</v>
      </c>
      <c r="BA2" s="404">
        <v>50533</v>
      </c>
      <c r="BB2" s="404">
        <v>50406</v>
      </c>
      <c r="BC2" s="404">
        <v>50565</v>
      </c>
      <c r="BD2" s="404">
        <v>50407</v>
      </c>
      <c r="BE2" s="404">
        <v>50486</v>
      </c>
      <c r="BF2" s="404">
        <v>50408</v>
      </c>
      <c r="BG2" s="404">
        <v>50409</v>
      </c>
      <c r="BH2" s="404">
        <v>50410</v>
      </c>
      <c r="BI2" s="404">
        <v>50411</v>
      </c>
      <c r="BJ2" s="404">
        <v>50412</v>
      </c>
      <c r="BK2" s="404">
        <v>50488</v>
      </c>
      <c r="BL2" s="404">
        <v>50413</v>
      </c>
      <c r="BM2" s="404">
        <v>50414</v>
      </c>
      <c r="BN2" s="404">
        <v>50415</v>
      </c>
      <c r="BO2" s="404">
        <v>50416</v>
      </c>
      <c r="BP2" s="404">
        <v>50534</v>
      </c>
      <c r="BQ2" s="404">
        <v>50417</v>
      </c>
      <c r="BR2" s="404">
        <v>50418</v>
      </c>
      <c r="BS2" s="404">
        <v>50546</v>
      </c>
      <c r="BT2" s="404">
        <v>50552</v>
      </c>
      <c r="BU2" s="404">
        <v>50419</v>
      </c>
      <c r="BV2" s="404">
        <v>50441</v>
      </c>
      <c r="BW2" s="404">
        <v>50420</v>
      </c>
      <c r="BX2" s="404">
        <v>50421</v>
      </c>
      <c r="BY2" s="404">
        <v>50422</v>
      </c>
      <c r="BZ2" s="404">
        <v>50535</v>
      </c>
      <c r="CA2" s="404">
        <v>0</v>
      </c>
      <c r="CB2" s="404">
        <v>50424</v>
      </c>
      <c r="CC2" s="404">
        <v>50425</v>
      </c>
      <c r="CD2" s="404">
        <v>50426</v>
      </c>
      <c r="CE2" s="404">
        <v>50537</v>
      </c>
      <c r="CF2" s="404">
        <v>50427</v>
      </c>
      <c r="CG2" s="404">
        <v>50428</v>
      </c>
      <c r="CH2" s="404">
        <v>50429</v>
      </c>
      <c r="CI2" s="404">
        <v>50431</v>
      </c>
      <c r="CJ2" s="404">
        <v>50430</v>
      </c>
      <c r="CK2" s="404">
        <v>50432</v>
      </c>
      <c r="CL2" s="404">
        <v>50453</v>
      </c>
      <c r="CM2" s="404">
        <v>50433</v>
      </c>
      <c r="CN2" s="404">
        <v>50435</v>
      </c>
      <c r="CO2" s="404">
        <v>50436</v>
      </c>
      <c r="CP2" s="404">
        <v>50499</v>
      </c>
      <c r="CQ2" s="404">
        <v>50438</v>
      </c>
      <c r="CR2" s="404">
        <v>50439</v>
      </c>
    </row>
    <row r="3" spans="1:96" s="404" customFormat="1" x14ac:dyDescent="0.3">
      <c r="A3" s="404">
        <v>4</v>
      </c>
      <c r="B3" s="405">
        <v>4</v>
      </c>
      <c r="C3" s="404">
        <v>4</v>
      </c>
      <c r="D3" s="404" t="s">
        <v>617</v>
      </c>
      <c r="E3" s="404" t="s">
        <v>297</v>
      </c>
      <c r="F3" s="404">
        <v>3381</v>
      </c>
      <c r="G3" s="404">
        <v>1642529</v>
      </c>
      <c r="H3" s="404">
        <v>21472</v>
      </c>
      <c r="I3" s="404">
        <v>121154</v>
      </c>
      <c r="J3" s="404">
        <v>9877</v>
      </c>
      <c r="K3" s="404">
        <v>13038</v>
      </c>
      <c r="L3" s="404">
        <v>1426598</v>
      </c>
      <c r="M3" s="404">
        <v>30546</v>
      </c>
      <c r="N3" s="404">
        <v>12481</v>
      </c>
      <c r="O3" s="404">
        <v>13419</v>
      </c>
      <c r="P3" s="404">
        <v>48439</v>
      </c>
      <c r="Q3" s="404">
        <v>652</v>
      </c>
      <c r="R3" s="404">
        <v>3057</v>
      </c>
      <c r="S3" s="404">
        <v>59291</v>
      </c>
      <c r="T3" s="404">
        <v>141866</v>
      </c>
      <c r="U3" s="404">
        <v>424434</v>
      </c>
      <c r="V3" s="404">
        <v>1053760</v>
      </c>
      <c r="W3" s="404">
        <v>542336</v>
      </c>
      <c r="X3" s="404">
        <v>15030</v>
      </c>
      <c r="Y3" s="404">
        <v>43531</v>
      </c>
      <c r="Z3" s="404">
        <v>0</v>
      </c>
      <c r="AA3" s="404">
        <v>1772</v>
      </c>
      <c r="AB3" s="404">
        <v>437282</v>
      </c>
      <c r="AC3" s="404">
        <v>39718</v>
      </c>
      <c r="AD3" s="404">
        <v>22700</v>
      </c>
      <c r="AE3" s="404">
        <v>13117</v>
      </c>
      <c r="AF3" s="404">
        <v>842007</v>
      </c>
      <c r="AG3" s="404">
        <v>23983</v>
      </c>
      <c r="AH3" s="404">
        <v>110043</v>
      </c>
      <c r="AI3" s="404">
        <v>22509</v>
      </c>
      <c r="AJ3" s="404">
        <v>5403</v>
      </c>
      <c r="AK3" s="404">
        <v>548477</v>
      </c>
      <c r="AL3" s="404">
        <v>63260</v>
      </c>
      <c r="AM3" s="404">
        <v>158938</v>
      </c>
      <c r="AN3" s="404">
        <v>147227</v>
      </c>
      <c r="AO3" s="404">
        <v>2907</v>
      </c>
      <c r="AP3" s="404">
        <v>77353</v>
      </c>
      <c r="AQ3" s="404">
        <v>76634</v>
      </c>
      <c r="AR3" s="404">
        <v>0</v>
      </c>
      <c r="AS3" s="404">
        <v>0</v>
      </c>
      <c r="AT3" s="404">
        <v>0</v>
      </c>
      <c r="AU3" s="404">
        <v>33109</v>
      </c>
      <c r="AV3" s="404">
        <v>3136</v>
      </c>
      <c r="AW3" s="404">
        <v>372</v>
      </c>
      <c r="AX3" s="404">
        <v>127659</v>
      </c>
      <c r="AY3" s="404">
        <v>0</v>
      </c>
      <c r="AZ3" s="404">
        <v>3362499</v>
      </c>
      <c r="BA3" s="404">
        <v>88754</v>
      </c>
      <c r="BB3" s="404">
        <v>195203</v>
      </c>
      <c r="BC3" s="404">
        <v>0</v>
      </c>
      <c r="BD3" s="404">
        <v>11723</v>
      </c>
      <c r="BE3" s="404">
        <v>86317</v>
      </c>
      <c r="BF3" s="404">
        <v>11240</v>
      </c>
      <c r="BG3" s="404">
        <v>17515</v>
      </c>
      <c r="BH3" s="404">
        <v>91915</v>
      </c>
      <c r="BI3" s="404">
        <v>525994</v>
      </c>
      <c r="BJ3" s="404">
        <v>5218</v>
      </c>
      <c r="BK3" s="404">
        <v>0</v>
      </c>
      <c r="BL3" s="404">
        <v>610437</v>
      </c>
      <c r="BM3" s="404">
        <v>426937</v>
      </c>
      <c r="BN3" s="404">
        <v>589922</v>
      </c>
      <c r="BO3" s="404">
        <v>2596</v>
      </c>
      <c r="BP3" s="404">
        <v>143593</v>
      </c>
      <c r="BQ3" s="404">
        <v>70102</v>
      </c>
      <c r="BR3" s="404">
        <v>3025563</v>
      </c>
      <c r="BS3" s="404">
        <v>146751</v>
      </c>
      <c r="BT3" s="404">
        <v>47379</v>
      </c>
      <c r="BU3" s="404">
        <v>121502</v>
      </c>
      <c r="BV3" s="404">
        <v>65107</v>
      </c>
      <c r="BW3" s="404">
        <v>0</v>
      </c>
      <c r="BX3" s="404">
        <v>65877</v>
      </c>
      <c r="BY3" s="404">
        <v>136204</v>
      </c>
      <c r="BZ3" s="404">
        <v>7458</v>
      </c>
      <c r="CA3" s="404">
        <v>0</v>
      </c>
      <c r="CB3" s="404">
        <v>343809</v>
      </c>
      <c r="CC3" s="404">
        <v>7218217</v>
      </c>
      <c r="CD3" s="404">
        <v>3964275</v>
      </c>
      <c r="CE3" s="404">
        <v>9672</v>
      </c>
      <c r="CF3" s="404">
        <v>10880</v>
      </c>
      <c r="CG3" s="404">
        <v>13670</v>
      </c>
      <c r="CH3" s="404">
        <v>54493</v>
      </c>
      <c r="CI3" s="404">
        <v>5794734</v>
      </c>
      <c r="CJ3" s="404">
        <v>3664197</v>
      </c>
      <c r="CK3" s="404">
        <v>47363</v>
      </c>
      <c r="CL3" s="404">
        <v>113449</v>
      </c>
      <c r="CM3" s="404">
        <v>3863</v>
      </c>
      <c r="CN3" s="404">
        <v>344887</v>
      </c>
      <c r="CO3" s="404">
        <v>62205</v>
      </c>
      <c r="CP3" s="404">
        <v>18012</v>
      </c>
      <c r="CQ3" s="404">
        <v>331087</v>
      </c>
      <c r="CR3" s="404">
        <v>911377</v>
      </c>
    </row>
    <row r="4" spans="1:96" s="404" customFormat="1" x14ac:dyDescent="0.3">
      <c r="A4" s="404">
        <v>5</v>
      </c>
      <c r="B4" s="405">
        <v>5</v>
      </c>
      <c r="C4" s="404">
        <v>5</v>
      </c>
      <c r="D4" s="404" t="s">
        <v>120</v>
      </c>
      <c r="E4" s="404" t="s">
        <v>298</v>
      </c>
      <c r="F4" s="404">
        <v>0</v>
      </c>
      <c r="G4" s="404">
        <v>135</v>
      </c>
      <c r="H4" s="404">
        <v>0</v>
      </c>
      <c r="I4" s="404">
        <v>0</v>
      </c>
      <c r="J4" s="404">
        <v>164</v>
      </c>
      <c r="K4" s="404">
        <v>0</v>
      </c>
      <c r="L4" s="404">
        <v>1956</v>
      </c>
      <c r="M4" s="404">
        <v>0</v>
      </c>
      <c r="N4" s="404">
        <v>0</v>
      </c>
      <c r="O4" s="404">
        <v>0</v>
      </c>
      <c r="P4" s="404">
        <v>0</v>
      </c>
      <c r="Q4" s="404">
        <v>0</v>
      </c>
      <c r="R4" s="404">
        <v>0</v>
      </c>
      <c r="S4" s="404">
        <v>2399</v>
      </c>
      <c r="T4" s="404">
        <v>54</v>
      </c>
      <c r="U4" s="404">
        <v>0</v>
      </c>
      <c r="V4" s="404">
        <v>0</v>
      </c>
      <c r="W4" s="404">
        <v>0</v>
      </c>
      <c r="X4" s="404">
        <v>0</v>
      </c>
      <c r="Y4" s="404">
        <v>1073</v>
      </c>
      <c r="Z4" s="404">
        <v>87515</v>
      </c>
      <c r="AA4" s="404">
        <v>0</v>
      </c>
      <c r="AB4" s="404">
        <v>81306</v>
      </c>
      <c r="AC4" s="404">
        <v>0</v>
      </c>
      <c r="AD4" s="404">
        <v>0</v>
      </c>
      <c r="AE4" s="404">
        <v>0</v>
      </c>
      <c r="AF4" s="404">
        <v>0</v>
      </c>
      <c r="AG4" s="404">
        <v>0</v>
      </c>
      <c r="AH4" s="404">
        <v>0</v>
      </c>
      <c r="AI4" s="404">
        <v>0</v>
      </c>
      <c r="AJ4" s="404">
        <v>255077</v>
      </c>
      <c r="AK4" s="404">
        <v>0</v>
      </c>
      <c r="AL4" s="404">
        <v>84</v>
      </c>
      <c r="AM4" s="404">
        <v>10143</v>
      </c>
      <c r="AN4" s="404">
        <v>0</v>
      </c>
      <c r="AO4" s="404">
        <v>0</v>
      </c>
      <c r="AP4" s="404">
        <v>0</v>
      </c>
      <c r="AQ4" s="404">
        <v>0</v>
      </c>
      <c r="AR4" s="404">
        <v>0</v>
      </c>
      <c r="AS4" s="404">
        <v>0</v>
      </c>
      <c r="AT4" s="404">
        <v>0</v>
      </c>
      <c r="AU4" s="404">
        <v>0</v>
      </c>
      <c r="AV4" s="404">
        <v>5439</v>
      </c>
      <c r="AW4" s="404">
        <v>0</v>
      </c>
      <c r="AX4" s="404">
        <v>15</v>
      </c>
      <c r="AY4" s="404">
        <v>0</v>
      </c>
      <c r="AZ4" s="404">
        <v>59763</v>
      </c>
      <c r="BA4" s="404">
        <v>0</v>
      </c>
      <c r="BB4" s="404">
        <v>0</v>
      </c>
      <c r="BC4" s="404">
        <v>0</v>
      </c>
      <c r="BD4" s="404">
        <v>0</v>
      </c>
      <c r="BE4" s="404">
        <v>0</v>
      </c>
      <c r="BF4" s="404">
        <v>0</v>
      </c>
      <c r="BG4" s="404">
        <v>0</v>
      </c>
      <c r="BH4" s="404">
        <v>0</v>
      </c>
      <c r="BI4" s="404">
        <v>0</v>
      </c>
      <c r="BJ4" s="404">
        <v>0</v>
      </c>
      <c r="BK4" s="404">
        <v>0</v>
      </c>
      <c r="BL4" s="404">
        <v>0</v>
      </c>
      <c r="BM4" s="404">
        <v>256814</v>
      </c>
      <c r="BN4" s="404">
        <v>10389</v>
      </c>
      <c r="BO4" s="404">
        <v>0</v>
      </c>
      <c r="BP4" s="404">
        <v>0</v>
      </c>
      <c r="BQ4" s="404">
        <v>34800</v>
      </c>
      <c r="BR4" s="404">
        <v>42049</v>
      </c>
      <c r="BS4" s="404">
        <v>0</v>
      </c>
      <c r="BT4" s="404">
        <v>273</v>
      </c>
      <c r="BU4" s="404">
        <v>5779</v>
      </c>
      <c r="BV4" s="404">
        <v>0</v>
      </c>
      <c r="BW4" s="404">
        <v>0</v>
      </c>
      <c r="BX4" s="404">
        <v>685</v>
      </c>
      <c r="BY4" s="404">
        <v>360</v>
      </c>
      <c r="BZ4" s="404">
        <v>0</v>
      </c>
      <c r="CA4" s="404">
        <v>0</v>
      </c>
      <c r="CB4" s="404">
        <v>42593</v>
      </c>
      <c r="CC4" s="404">
        <v>0</v>
      </c>
      <c r="CD4" s="404">
        <v>0</v>
      </c>
      <c r="CE4" s="404">
        <v>10</v>
      </c>
      <c r="CF4" s="404">
        <v>0</v>
      </c>
      <c r="CG4" s="404">
        <v>0</v>
      </c>
      <c r="CH4" s="404">
        <v>0</v>
      </c>
      <c r="CI4" s="404">
        <v>0</v>
      </c>
      <c r="CJ4" s="404">
        <v>0</v>
      </c>
      <c r="CK4" s="404">
        <v>0</v>
      </c>
      <c r="CL4" s="404">
        <v>0</v>
      </c>
      <c r="CM4" s="404">
        <v>0</v>
      </c>
      <c r="CN4" s="404">
        <v>0</v>
      </c>
      <c r="CO4" s="404">
        <v>0</v>
      </c>
      <c r="CP4" s="404">
        <v>0</v>
      </c>
      <c r="CQ4" s="404">
        <v>0</v>
      </c>
      <c r="CR4" s="404">
        <v>147068</v>
      </c>
    </row>
    <row r="5" spans="1:96" s="404" customFormat="1" x14ac:dyDescent="0.3">
      <c r="A5" s="404">
        <v>6</v>
      </c>
      <c r="B5" s="405">
        <v>6</v>
      </c>
      <c r="C5" s="404">
        <v>6</v>
      </c>
      <c r="D5" s="404" t="s">
        <v>264</v>
      </c>
      <c r="E5" s="404" t="s">
        <v>299</v>
      </c>
      <c r="F5" s="404">
        <v>0</v>
      </c>
      <c r="G5" s="404">
        <v>48340</v>
      </c>
      <c r="H5" s="404">
        <v>0</v>
      </c>
      <c r="I5" s="404">
        <v>0</v>
      </c>
      <c r="J5" s="404">
        <v>0</v>
      </c>
      <c r="K5" s="404">
        <v>0</v>
      </c>
      <c r="L5" s="404">
        <v>1757627</v>
      </c>
      <c r="M5" s="404">
        <v>0</v>
      </c>
      <c r="N5" s="404">
        <v>0</v>
      </c>
      <c r="O5" s="404">
        <v>0</v>
      </c>
      <c r="P5" s="404">
        <v>0</v>
      </c>
      <c r="Q5" s="404">
        <v>0</v>
      </c>
      <c r="R5" s="404">
        <v>0</v>
      </c>
      <c r="S5" s="404">
        <v>0</v>
      </c>
      <c r="T5" s="404">
        <v>0</v>
      </c>
      <c r="U5" s="404">
        <v>0</v>
      </c>
      <c r="V5" s="404">
        <v>0</v>
      </c>
      <c r="W5" s="404">
        <v>0</v>
      </c>
      <c r="X5" s="404">
        <v>0</v>
      </c>
      <c r="Y5" s="404">
        <v>0</v>
      </c>
      <c r="Z5" s="404">
        <v>0</v>
      </c>
      <c r="AA5" s="404">
        <v>0</v>
      </c>
      <c r="AB5" s="404">
        <v>0</v>
      </c>
      <c r="AC5" s="404">
        <v>0</v>
      </c>
      <c r="AD5" s="404">
        <v>0</v>
      </c>
      <c r="AE5" s="404">
        <v>0</v>
      </c>
      <c r="AF5" s="404">
        <v>1301135</v>
      </c>
      <c r="AG5" s="404">
        <v>0</v>
      </c>
      <c r="AH5" s="404">
        <v>0</v>
      </c>
      <c r="AI5" s="404">
        <v>0</v>
      </c>
      <c r="AJ5" s="404">
        <v>0</v>
      </c>
      <c r="AK5" s="404">
        <v>0</v>
      </c>
      <c r="AL5" s="404">
        <v>0</v>
      </c>
      <c r="AM5" s="404">
        <v>0</v>
      </c>
      <c r="AN5" s="404">
        <v>0</v>
      </c>
      <c r="AO5" s="404">
        <v>0</v>
      </c>
      <c r="AP5" s="404">
        <v>0</v>
      </c>
      <c r="AQ5" s="404">
        <v>44396</v>
      </c>
      <c r="AR5" s="404">
        <v>0</v>
      </c>
      <c r="AS5" s="404">
        <v>0</v>
      </c>
      <c r="AT5" s="404">
        <v>0</v>
      </c>
      <c r="AU5" s="404">
        <v>0</v>
      </c>
      <c r="AV5" s="404">
        <v>0</v>
      </c>
      <c r="AW5" s="404">
        <v>0</v>
      </c>
      <c r="AX5" s="404">
        <v>0</v>
      </c>
      <c r="AY5" s="404">
        <v>0</v>
      </c>
      <c r="AZ5" s="404">
        <v>135815</v>
      </c>
      <c r="BA5" s="404">
        <v>0</v>
      </c>
      <c r="BB5" s="404">
        <v>0</v>
      </c>
      <c r="BC5" s="404">
        <v>0</v>
      </c>
      <c r="BD5" s="404">
        <v>0</v>
      </c>
      <c r="BE5" s="404">
        <v>0</v>
      </c>
      <c r="BF5" s="404">
        <v>0</v>
      </c>
      <c r="BG5" s="404">
        <v>0</v>
      </c>
      <c r="BH5" s="404">
        <v>0</v>
      </c>
      <c r="BI5" s="404">
        <v>663104</v>
      </c>
      <c r="BJ5" s="404">
        <v>0</v>
      </c>
      <c r="BK5" s="404">
        <v>0</v>
      </c>
      <c r="BL5" s="404">
        <v>0</v>
      </c>
      <c r="BM5" s="404">
        <v>39056</v>
      </c>
      <c r="BN5" s="404">
        <v>0</v>
      </c>
      <c r="BO5" s="404">
        <v>0</v>
      </c>
      <c r="BP5" s="404">
        <v>103500</v>
      </c>
      <c r="BQ5" s="404">
        <v>0</v>
      </c>
      <c r="BR5" s="404">
        <v>0</v>
      </c>
      <c r="BS5" s="404">
        <v>0</v>
      </c>
      <c r="BT5" s="404">
        <v>0</v>
      </c>
      <c r="BU5" s="404">
        <v>0</v>
      </c>
      <c r="BV5" s="404">
        <v>0</v>
      </c>
      <c r="BW5" s="404">
        <v>0</v>
      </c>
      <c r="BX5" s="404">
        <v>0</v>
      </c>
      <c r="BY5" s="404">
        <v>0</v>
      </c>
      <c r="BZ5" s="404">
        <v>0</v>
      </c>
      <c r="CA5" s="404">
        <v>0</v>
      </c>
      <c r="CB5" s="404">
        <v>0</v>
      </c>
      <c r="CC5" s="404">
        <v>692115</v>
      </c>
      <c r="CD5" s="404">
        <v>612905</v>
      </c>
      <c r="CE5" s="404">
        <v>0</v>
      </c>
      <c r="CF5" s="404">
        <v>0</v>
      </c>
      <c r="CG5" s="404">
        <v>0</v>
      </c>
      <c r="CH5" s="404">
        <v>0</v>
      </c>
      <c r="CI5" s="404">
        <v>3218270</v>
      </c>
      <c r="CJ5" s="404">
        <v>0</v>
      </c>
      <c r="CK5" s="404">
        <v>0</v>
      </c>
      <c r="CL5" s="404">
        <v>0</v>
      </c>
      <c r="CM5" s="404">
        <v>0</v>
      </c>
      <c r="CN5" s="404">
        <v>0</v>
      </c>
      <c r="CO5" s="404">
        <v>0</v>
      </c>
      <c r="CP5" s="404">
        <v>0</v>
      </c>
      <c r="CQ5" s="404">
        <v>0</v>
      </c>
      <c r="CR5" s="404">
        <v>0</v>
      </c>
    </row>
    <row r="6" spans="1:96" s="404" customFormat="1" x14ac:dyDescent="0.3">
      <c r="A6" s="404">
        <v>7</v>
      </c>
      <c r="B6" s="405">
        <v>7</v>
      </c>
      <c r="C6" s="404">
        <v>7</v>
      </c>
      <c r="D6" s="404" t="s">
        <v>202</v>
      </c>
      <c r="E6" s="404" t="s">
        <v>300</v>
      </c>
      <c r="F6" s="404">
        <v>988</v>
      </c>
      <c r="G6" s="404">
        <v>0</v>
      </c>
      <c r="H6" s="404">
        <v>0</v>
      </c>
      <c r="I6" s="404">
        <v>0</v>
      </c>
      <c r="J6" s="404">
        <v>0</v>
      </c>
      <c r="K6" s="404">
        <v>0</v>
      </c>
      <c r="L6" s="404">
        <v>25071</v>
      </c>
      <c r="M6" s="404">
        <v>0</v>
      </c>
      <c r="N6" s="404">
        <v>0</v>
      </c>
      <c r="O6" s="404">
        <v>9319</v>
      </c>
      <c r="P6" s="404">
        <v>20474</v>
      </c>
      <c r="Q6" s="404">
        <v>0</v>
      </c>
      <c r="R6" s="404">
        <v>12169</v>
      </c>
      <c r="S6" s="404">
        <v>0</v>
      </c>
      <c r="T6" s="404">
        <v>3776</v>
      </c>
      <c r="U6" s="404">
        <v>0</v>
      </c>
      <c r="V6" s="404">
        <v>0</v>
      </c>
      <c r="W6" s="404">
        <v>0</v>
      </c>
      <c r="X6" s="404">
        <v>10404</v>
      </c>
      <c r="Y6" s="404">
        <v>0</v>
      </c>
      <c r="Z6" s="404">
        <v>0</v>
      </c>
      <c r="AA6" s="404">
        <v>0</v>
      </c>
      <c r="AB6" s="404">
        <v>66329</v>
      </c>
      <c r="AC6" s="404">
        <v>0</v>
      </c>
      <c r="AD6" s="404">
        <v>4579</v>
      </c>
      <c r="AE6" s="404">
        <v>0</v>
      </c>
      <c r="AF6" s="404">
        <v>97896</v>
      </c>
      <c r="AG6" s="404">
        <v>0</v>
      </c>
      <c r="AH6" s="404">
        <v>0</v>
      </c>
      <c r="AI6" s="404">
        <v>0</v>
      </c>
      <c r="AJ6" s="404">
        <v>0</v>
      </c>
      <c r="AK6" s="404">
        <v>0</v>
      </c>
      <c r="AL6" s="404">
        <v>32804</v>
      </c>
      <c r="AM6" s="404">
        <v>12512</v>
      </c>
      <c r="AN6" s="404">
        <v>11525</v>
      </c>
      <c r="AO6" s="404">
        <v>0</v>
      </c>
      <c r="AP6" s="404">
        <v>1947</v>
      </c>
      <c r="AQ6" s="404">
        <v>120572</v>
      </c>
      <c r="AR6" s="404">
        <v>0</v>
      </c>
      <c r="AS6" s="404">
        <v>0</v>
      </c>
      <c r="AT6" s="404">
        <v>0</v>
      </c>
      <c r="AU6" s="404">
        <v>0</v>
      </c>
      <c r="AV6" s="404">
        <v>0</v>
      </c>
      <c r="AW6" s="404">
        <v>0</v>
      </c>
      <c r="AX6" s="404">
        <v>25924</v>
      </c>
      <c r="AY6" s="404">
        <v>0</v>
      </c>
      <c r="AZ6" s="404">
        <v>153943</v>
      </c>
      <c r="BA6" s="404">
        <v>0</v>
      </c>
      <c r="BB6" s="404">
        <v>29236</v>
      </c>
      <c r="BC6" s="404">
        <v>0</v>
      </c>
      <c r="BD6" s="404">
        <v>0</v>
      </c>
      <c r="BE6" s="404">
        <v>0</v>
      </c>
      <c r="BF6" s="404">
        <v>25950</v>
      </c>
      <c r="BG6" s="404">
        <v>0</v>
      </c>
      <c r="BH6" s="404">
        <v>0</v>
      </c>
      <c r="BI6" s="404">
        <v>47197</v>
      </c>
      <c r="BJ6" s="404">
        <v>5462</v>
      </c>
      <c r="BK6" s="404">
        <v>0</v>
      </c>
      <c r="BL6" s="404">
        <v>68909</v>
      </c>
      <c r="BM6" s="404">
        <v>209250</v>
      </c>
      <c r="BN6" s="404">
        <v>82000</v>
      </c>
      <c r="BO6" s="404">
        <v>0</v>
      </c>
      <c r="BP6" s="404">
        <v>36812</v>
      </c>
      <c r="BQ6" s="404">
        <v>234798</v>
      </c>
      <c r="BR6" s="404">
        <v>0</v>
      </c>
      <c r="BS6" s="404">
        <v>18303</v>
      </c>
      <c r="BT6" s="404">
        <v>3097</v>
      </c>
      <c r="BU6" s="404">
        <v>0</v>
      </c>
      <c r="BV6" s="404">
        <v>0</v>
      </c>
      <c r="BW6" s="404">
        <v>0</v>
      </c>
      <c r="BX6" s="404">
        <v>0</v>
      </c>
      <c r="BY6" s="404">
        <v>0</v>
      </c>
      <c r="BZ6" s="404">
        <v>0</v>
      </c>
      <c r="CA6" s="404">
        <v>0</v>
      </c>
      <c r="CB6" s="404">
        <v>10202</v>
      </c>
      <c r="CC6" s="404">
        <v>1280350</v>
      </c>
      <c r="CD6" s="404">
        <v>443093</v>
      </c>
      <c r="CE6" s="404">
        <v>0</v>
      </c>
      <c r="CF6" s="404">
        <v>21150</v>
      </c>
      <c r="CG6" s="404">
        <v>0</v>
      </c>
      <c r="CH6" s="404">
        <v>14223</v>
      </c>
      <c r="CI6" s="404">
        <v>469850</v>
      </c>
      <c r="CJ6" s="404">
        <v>11331</v>
      </c>
      <c r="CK6" s="404">
        <v>12844</v>
      </c>
      <c r="CL6" s="404">
        <v>0</v>
      </c>
      <c r="CM6" s="404">
        <v>0</v>
      </c>
      <c r="CN6" s="404">
        <v>32012</v>
      </c>
      <c r="CO6" s="404">
        <v>0</v>
      </c>
      <c r="CP6" s="404">
        <v>0</v>
      </c>
      <c r="CQ6" s="404">
        <v>0</v>
      </c>
      <c r="CR6" s="404">
        <v>0</v>
      </c>
    </row>
    <row r="7" spans="1:96" s="404" customFormat="1" x14ac:dyDescent="0.3">
      <c r="A7" s="404">
        <v>9</v>
      </c>
      <c r="B7" s="405">
        <v>9</v>
      </c>
      <c r="C7" s="404">
        <v>9</v>
      </c>
      <c r="D7" s="404" t="s">
        <v>204</v>
      </c>
      <c r="E7" s="404" t="s">
        <v>301</v>
      </c>
      <c r="F7" s="404">
        <v>648494</v>
      </c>
      <c r="G7" s="404">
        <v>9539666</v>
      </c>
      <c r="H7" s="404">
        <v>922665</v>
      </c>
      <c r="I7" s="404">
        <v>1908585</v>
      </c>
      <c r="J7" s="404">
        <v>645725</v>
      </c>
      <c r="K7" s="404">
        <v>997188</v>
      </c>
      <c r="L7" s="404">
        <v>24802140</v>
      </c>
      <c r="M7" s="404">
        <v>536691</v>
      </c>
      <c r="N7" s="404">
        <v>334013</v>
      </c>
      <c r="O7" s="404">
        <v>3025450</v>
      </c>
      <c r="P7" s="404">
        <v>965954</v>
      </c>
      <c r="Q7" s="404">
        <v>333475</v>
      </c>
      <c r="R7" s="404">
        <v>398074</v>
      </c>
      <c r="S7" s="404">
        <v>1266985</v>
      </c>
      <c r="T7" s="404">
        <v>7045252</v>
      </c>
      <c r="U7" s="404">
        <v>9428076</v>
      </c>
      <c r="V7" s="404">
        <v>6840882</v>
      </c>
      <c r="W7" s="404">
        <v>2966005</v>
      </c>
      <c r="X7" s="404">
        <v>3888394</v>
      </c>
      <c r="Y7" s="404">
        <v>6192678</v>
      </c>
      <c r="Z7" s="404">
        <v>2985503</v>
      </c>
      <c r="AA7" s="404">
        <v>72087</v>
      </c>
      <c r="AB7" s="404">
        <v>4860923</v>
      </c>
      <c r="AC7" s="404">
        <v>1253568</v>
      </c>
      <c r="AD7" s="404">
        <v>1195084</v>
      </c>
      <c r="AE7" s="404">
        <v>702389</v>
      </c>
      <c r="AF7" s="404">
        <v>13941744</v>
      </c>
      <c r="AG7" s="404">
        <v>2096502</v>
      </c>
      <c r="AH7" s="404">
        <v>3078265</v>
      </c>
      <c r="AI7" s="404">
        <v>2440800</v>
      </c>
      <c r="AJ7" s="404">
        <v>700807</v>
      </c>
      <c r="AK7" s="404">
        <v>8865677</v>
      </c>
      <c r="AL7" s="404">
        <v>2962750</v>
      </c>
      <c r="AM7" s="404">
        <v>1804640</v>
      </c>
      <c r="AN7" s="404">
        <v>1714115</v>
      </c>
      <c r="AO7" s="404">
        <v>126167</v>
      </c>
      <c r="AP7" s="404">
        <v>3121495</v>
      </c>
      <c r="AQ7" s="404">
        <v>4528448</v>
      </c>
      <c r="AR7" s="404">
        <v>0</v>
      </c>
      <c r="AS7" s="404">
        <v>461141</v>
      </c>
      <c r="AT7" s="404">
        <v>1623313</v>
      </c>
      <c r="AU7" s="404">
        <v>648707</v>
      </c>
      <c r="AV7" s="404">
        <v>197318</v>
      </c>
      <c r="AW7" s="404">
        <v>301853</v>
      </c>
      <c r="AX7" s="404">
        <v>3635028</v>
      </c>
      <c r="AY7" s="404">
        <v>1077818</v>
      </c>
      <c r="AZ7" s="404">
        <v>15897208</v>
      </c>
      <c r="BA7" s="404">
        <v>4919772</v>
      </c>
      <c r="BB7" s="404">
        <v>3235470</v>
      </c>
      <c r="BC7" s="404">
        <v>3013543</v>
      </c>
      <c r="BD7" s="404">
        <v>1431191</v>
      </c>
      <c r="BE7" s="404">
        <v>1471642</v>
      </c>
      <c r="BF7" s="404">
        <v>273132</v>
      </c>
      <c r="BG7" s="404">
        <v>1104551</v>
      </c>
      <c r="BH7" s="404">
        <v>2525788</v>
      </c>
      <c r="BI7" s="404">
        <v>6848292</v>
      </c>
      <c r="BJ7" s="404">
        <v>431705</v>
      </c>
      <c r="BK7" s="404">
        <v>275568</v>
      </c>
      <c r="BL7" s="404">
        <v>8139323</v>
      </c>
      <c r="BM7" s="404">
        <v>10729021</v>
      </c>
      <c r="BN7" s="404">
        <v>7494747</v>
      </c>
      <c r="BO7" s="404">
        <v>138996</v>
      </c>
      <c r="BP7" s="404">
        <v>3494636</v>
      </c>
      <c r="BQ7" s="404">
        <v>2048323</v>
      </c>
      <c r="BR7" s="404">
        <v>7727137</v>
      </c>
      <c r="BS7" s="404">
        <v>1649876</v>
      </c>
      <c r="BT7" s="404">
        <v>1681416</v>
      </c>
      <c r="BU7" s="404">
        <v>2520860</v>
      </c>
      <c r="BV7" s="404">
        <v>2828691</v>
      </c>
      <c r="BW7" s="404">
        <v>0</v>
      </c>
      <c r="BX7" s="404">
        <v>1121826</v>
      </c>
      <c r="BY7" s="404">
        <v>3456542</v>
      </c>
      <c r="BZ7" s="404">
        <v>613600</v>
      </c>
      <c r="CA7" s="404">
        <v>0</v>
      </c>
      <c r="CB7" s="404">
        <v>4511126</v>
      </c>
      <c r="CC7" s="404">
        <v>71201147</v>
      </c>
      <c r="CD7" s="404">
        <v>23450139</v>
      </c>
      <c r="CE7" s="404">
        <v>1430217</v>
      </c>
      <c r="CF7" s="404">
        <v>3135212</v>
      </c>
      <c r="CG7" s="404">
        <v>252505</v>
      </c>
      <c r="CH7" s="404">
        <v>1401592</v>
      </c>
      <c r="CI7" s="404">
        <v>49058154</v>
      </c>
      <c r="CJ7" s="404">
        <v>8831936</v>
      </c>
      <c r="CK7" s="404">
        <v>1374253</v>
      </c>
      <c r="CL7" s="404">
        <v>3060257</v>
      </c>
      <c r="CM7" s="404">
        <v>1102089</v>
      </c>
      <c r="CN7" s="404">
        <v>13663855</v>
      </c>
      <c r="CO7" s="404">
        <v>3225787</v>
      </c>
      <c r="CP7" s="404">
        <v>2080792</v>
      </c>
      <c r="CQ7" s="404">
        <v>2550135</v>
      </c>
      <c r="CR7" s="404">
        <v>12012497</v>
      </c>
    </row>
    <row r="8" spans="1:96" s="404" customFormat="1" x14ac:dyDescent="0.3">
      <c r="A8" s="404">
        <v>11</v>
      </c>
      <c r="B8" s="405">
        <v>11</v>
      </c>
      <c r="C8" s="404">
        <v>11</v>
      </c>
      <c r="D8" s="404" t="s">
        <v>1767</v>
      </c>
      <c r="E8" s="404" t="s">
        <v>302</v>
      </c>
      <c r="F8" s="404">
        <v>0</v>
      </c>
      <c r="G8" s="404">
        <v>291514</v>
      </c>
      <c r="H8" s="404">
        <v>3911</v>
      </c>
      <c r="I8" s="404">
        <v>400514</v>
      </c>
      <c r="J8" s="404">
        <v>169860</v>
      </c>
      <c r="K8" s="404">
        <v>52532</v>
      </c>
      <c r="L8" s="404">
        <v>148823</v>
      </c>
      <c r="M8" s="404">
        <v>26706</v>
      </c>
      <c r="N8" s="404">
        <v>49750</v>
      </c>
      <c r="O8" s="404">
        <v>0</v>
      </c>
      <c r="P8" s="404">
        <v>141719</v>
      </c>
      <c r="Q8" s="404">
        <v>76455</v>
      </c>
      <c r="R8" s="404">
        <v>50433</v>
      </c>
      <c r="S8" s="404">
        <v>0</v>
      </c>
      <c r="T8" s="404">
        <v>0</v>
      </c>
      <c r="U8" s="404">
        <v>135515</v>
      </c>
      <c r="V8" s="404">
        <v>279622</v>
      </c>
      <c r="W8" s="404">
        <v>24474</v>
      </c>
      <c r="X8" s="404">
        <v>0</v>
      </c>
      <c r="Y8" s="404">
        <v>83856</v>
      </c>
      <c r="Z8" s="404">
        <v>0</v>
      </c>
      <c r="AA8" s="404">
        <v>10107</v>
      </c>
      <c r="AB8" s="404">
        <v>855621</v>
      </c>
      <c r="AC8" s="404">
        <v>87060</v>
      </c>
      <c r="AD8" s="404">
        <v>189320</v>
      </c>
      <c r="AE8" s="404">
        <v>71686</v>
      </c>
      <c r="AF8" s="404">
        <v>96375</v>
      </c>
      <c r="AG8" s="404">
        <v>566956</v>
      </c>
      <c r="AH8" s="404">
        <v>54861</v>
      </c>
      <c r="AI8" s="404">
        <v>360186</v>
      </c>
      <c r="AJ8" s="404">
        <v>11893</v>
      </c>
      <c r="AK8" s="404">
        <v>548273</v>
      </c>
      <c r="AL8" s="404">
        <v>85164</v>
      </c>
      <c r="AM8" s="404">
        <v>212278</v>
      </c>
      <c r="AN8" s="404">
        <v>0</v>
      </c>
      <c r="AO8" s="404">
        <v>8763</v>
      </c>
      <c r="AP8" s="404">
        <v>0</v>
      </c>
      <c r="AQ8" s="404">
        <v>9107</v>
      </c>
      <c r="AR8" s="404">
        <v>0</v>
      </c>
      <c r="AS8" s="404">
        <v>82701</v>
      </c>
      <c r="AT8" s="404">
        <v>0</v>
      </c>
      <c r="AU8" s="404">
        <v>81020</v>
      </c>
      <c r="AV8" s="404">
        <v>130431</v>
      </c>
      <c r="AW8" s="404">
        <v>157905</v>
      </c>
      <c r="AX8" s="404">
        <v>190446</v>
      </c>
      <c r="AY8" s="404">
        <v>76578</v>
      </c>
      <c r="AZ8" s="404">
        <v>0</v>
      </c>
      <c r="BA8" s="404">
        <v>507793</v>
      </c>
      <c r="BB8" s="404">
        <v>167018</v>
      </c>
      <c r="BC8" s="404">
        <v>0</v>
      </c>
      <c r="BD8" s="404">
        <v>82085</v>
      </c>
      <c r="BE8" s="404">
        <v>32855</v>
      </c>
      <c r="BF8" s="404">
        <v>29977</v>
      </c>
      <c r="BG8" s="404">
        <v>32461</v>
      </c>
      <c r="BH8" s="404">
        <v>71407</v>
      </c>
      <c r="BI8" s="404">
        <v>0</v>
      </c>
      <c r="BJ8" s="404">
        <v>71294</v>
      </c>
      <c r="BK8" s="404">
        <v>18608</v>
      </c>
      <c r="BL8" s="404">
        <v>0</v>
      </c>
      <c r="BM8" s="404">
        <v>242171</v>
      </c>
      <c r="BN8" s="404">
        <v>14058</v>
      </c>
      <c r="BO8" s="404">
        <v>0</v>
      </c>
      <c r="BP8" s="404">
        <v>0</v>
      </c>
      <c r="BQ8" s="404">
        <v>164422</v>
      </c>
      <c r="BR8" s="404">
        <v>81663</v>
      </c>
      <c r="BS8" s="404">
        <v>0</v>
      </c>
      <c r="BT8" s="404">
        <v>0</v>
      </c>
      <c r="BU8" s="404">
        <v>43703</v>
      </c>
      <c r="BV8" s="404">
        <v>1207688</v>
      </c>
      <c r="BW8" s="404">
        <v>0</v>
      </c>
      <c r="BX8" s="404">
        <v>117674</v>
      </c>
      <c r="BY8" s="404">
        <v>92950</v>
      </c>
      <c r="BZ8" s="404">
        <v>0</v>
      </c>
      <c r="CA8" s="404">
        <v>0</v>
      </c>
      <c r="CB8" s="404">
        <v>408110</v>
      </c>
      <c r="CC8" s="404">
        <v>0</v>
      </c>
      <c r="CD8" s="404">
        <v>0</v>
      </c>
      <c r="CE8" s="404">
        <v>173137</v>
      </c>
      <c r="CF8" s="404">
        <v>0</v>
      </c>
      <c r="CG8" s="404">
        <v>17</v>
      </c>
      <c r="CH8" s="404">
        <v>139149</v>
      </c>
      <c r="CI8" s="404">
        <v>0</v>
      </c>
      <c r="CJ8" s="404">
        <v>241969</v>
      </c>
      <c r="CK8" s="404">
        <v>97423</v>
      </c>
      <c r="CL8" s="404">
        <v>101485</v>
      </c>
      <c r="CM8" s="404">
        <v>129468</v>
      </c>
      <c r="CN8" s="404">
        <v>111380</v>
      </c>
      <c r="CO8" s="404">
        <v>48190</v>
      </c>
      <c r="CP8" s="404">
        <v>301921</v>
      </c>
      <c r="CQ8" s="404">
        <v>54317</v>
      </c>
      <c r="CR8" s="404">
        <v>231372</v>
      </c>
    </row>
    <row r="9" spans="1:96" s="404" customFormat="1" x14ac:dyDescent="0.3">
      <c r="A9" s="404">
        <v>12</v>
      </c>
      <c r="B9" s="405"/>
      <c r="C9" s="404">
        <v>12</v>
      </c>
      <c r="D9" s="404" t="s">
        <v>618</v>
      </c>
      <c r="E9" s="404" t="s">
        <v>303</v>
      </c>
    </row>
    <row r="10" spans="1:96" s="404" customFormat="1" x14ac:dyDescent="0.3">
      <c r="A10" s="404">
        <v>13</v>
      </c>
      <c r="B10" s="405"/>
      <c r="C10" s="404">
        <v>13</v>
      </c>
      <c r="D10" s="404" t="s">
        <v>619</v>
      </c>
      <c r="E10" s="404" t="s">
        <v>304</v>
      </c>
    </row>
    <row r="11" spans="1:96" s="404" customFormat="1" x14ac:dyDescent="0.3">
      <c r="A11" s="404">
        <v>14</v>
      </c>
      <c r="B11" s="405"/>
      <c r="C11" s="404">
        <v>14</v>
      </c>
      <c r="D11" s="404" t="s">
        <v>305</v>
      </c>
      <c r="E11" s="404" t="s">
        <v>306</v>
      </c>
    </row>
    <row r="12" spans="1:96" s="404" customFormat="1" x14ac:dyDescent="0.3">
      <c r="A12" s="404">
        <v>16</v>
      </c>
      <c r="B12" s="405">
        <v>16</v>
      </c>
      <c r="C12" s="404">
        <v>16</v>
      </c>
      <c r="D12" s="404" t="s">
        <v>206</v>
      </c>
      <c r="E12" s="404" t="s">
        <v>307</v>
      </c>
      <c r="F12" s="404">
        <v>159827</v>
      </c>
      <c r="G12" s="404">
        <v>8971952</v>
      </c>
      <c r="H12" s="404">
        <v>1042846</v>
      </c>
      <c r="I12" s="404">
        <v>3294831</v>
      </c>
      <c r="J12" s="404">
        <v>514017</v>
      </c>
      <c r="K12" s="404">
        <v>715732</v>
      </c>
      <c r="L12" s="404">
        <v>32640758</v>
      </c>
      <c r="M12" s="404">
        <v>691811</v>
      </c>
      <c r="N12" s="404">
        <v>604825</v>
      </c>
      <c r="O12" s="404">
        <v>428230</v>
      </c>
      <c r="P12" s="404">
        <v>1465932</v>
      </c>
      <c r="Q12" s="404">
        <v>64871</v>
      </c>
      <c r="R12" s="404">
        <v>280763</v>
      </c>
      <c r="S12" s="404">
        <v>1785665</v>
      </c>
      <c r="T12" s="404">
        <v>1411016</v>
      </c>
      <c r="U12" s="404">
        <v>7779225</v>
      </c>
      <c r="V12" s="404">
        <v>12191982</v>
      </c>
      <c r="W12" s="404">
        <v>4311623</v>
      </c>
      <c r="X12" s="404">
        <v>551474</v>
      </c>
      <c r="Y12" s="404">
        <v>4229155</v>
      </c>
      <c r="Z12" s="404">
        <v>3149223</v>
      </c>
      <c r="AA12" s="404">
        <v>53951</v>
      </c>
      <c r="AB12" s="404">
        <v>8978681</v>
      </c>
      <c r="AC12" s="404">
        <v>2309103</v>
      </c>
      <c r="AD12" s="404">
        <v>981472</v>
      </c>
      <c r="AE12" s="404">
        <v>325301</v>
      </c>
      <c r="AF12" s="404">
        <v>24135391</v>
      </c>
      <c r="AG12" s="404">
        <v>637676</v>
      </c>
      <c r="AH12" s="404">
        <v>3260501</v>
      </c>
      <c r="AI12" s="404">
        <v>1856364</v>
      </c>
      <c r="AJ12" s="404">
        <v>408393</v>
      </c>
      <c r="AK12" s="404">
        <v>3323007</v>
      </c>
      <c r="AL12" s="404">
        <v>4475841</v>
      </c>
      <c r="AM12" s="404">
        <v>2982244</v>
      </c>
      <c r="AN12" s="404">
        <v>1741468</v>
      </c>
      <c r="AO12" s="404">
        <v>208523</v>
      </c>
      <c r="AP12" s="404">
        <v>486569</v>
      </c>
      <c r="AQ12" s="404">
        <v>5043110</v>
      </c>
      <c r="AR12" s="404">
        <v>0</v>
      </c>
      <c r="AS12" s="404">
        <v>245691</v>
      </c>
      <c r="AT12" s="404">
        <v>370915</v>
      </c>
      <c r="AU12" s="404">
        <v>900629</v>
      </c>
      <c r="AV12" s="404">
        <v>101468</v>
      </c>
      <c r="AW12" s="404">
        <v>293446</v>
      </c>
      <c r="AX12" s="404">
        <v>4886007</v>
      </c>
      <c r="AY12" s="404">
        <v>407548</v>
      </c>
      <c r="AZ12" s="404">
        <v>45447606</v>
      </c>
      <c r="BA12" s="404">
        <v>1921290</v>
      </c>
      <c r="BB12" s="404">
        <v>5118682</v>
      </c>
      <c r="BC12" s="404">
        <v>1048013</v>
      </c>
      <c r="BD12" s="404">
        <v>1032576</v>
      </c>
      <c r="BE12" s="404">
        <v>1630052</v>
      </c>
      <c r="BF12" s="404">
        <v>258845</v>
      </c>
      <c r="BG12" s="404">
        <v>1120985</v>
      </c>
      <c r="BH12" s="404">
        <v>3141094</v>
      </c>
      <c r="BI12" s="404">
        <v>11612000</v>
      </c>
      <c r="BJ12" s="404">
        <v>329700</v>
      </c>
      <c r="BK12" s="404">
        <v>103502</v>
      </c>
      <c r="BL12" s="404">
        <v>12549760</v>
      </c>
      <c r="BM12" s="404">
        <v>13474931</v>
      </c>
      <c r="BN12" s="404">
        <v>7389550</v>
      </c>
      <c r="BO12" s="404">
        <v>86383</v>
      </c>
      <c r="BP12" s="404">
        <v>2281541</v>
      </c>
      <c r="BQ12" s="404">
        <v>1469712</v>
      </c>
      <c r="BR12" s="404">
        <v>7634694</v>
      </c>
      <c r="BS12" s="404">
        <v>847487</v>
      </c>
      <c r="BT12" s="404">
        <v>1156582</v>
      </c>
      <c r="BU12" s="404">
        <v>2757075</v>
      </c>
      <c r="BV12" s="404">
        <v>3957038</v>
      </c>
      <c r="BW12" s="404">
        <v>0</v>
      </c>
      <c r="BX12" s="404">
        <v>1870761</v>
      </c>
      <c r="BY12" s="404">
        <v>4912637</v>
      </c>
      <c r="BZ12" s="404">
        <v>179735</v>
      </c>
      <c r="CA12" s="404">
        <v>0</v>
      </c>
      <c r="CB12" s="404">
        <v>6054672</v>
      </c>
      <c r="CC12" s="404">
        <v>119752535</v>
      </c>
      <c r="CD12" s="404">
        <v>52726784</v>
      </c>
      <c r="CE12" s="404">
        <v>1417235</v>
      </c>
      <c r="CF12" s="404">
        <v>1990415</v>
      </c>
      <c r="CG12" s="404">
        <v>605734</v>
      </c>
      <c r="CH12" s="404">
        <v>1601630</v>
      </c>
      <c r="CI12" s="404">
        <v>200509519</v>
      </c>
      <c r="CJ12" s="404">
        <v>9310390</v>
      </c>
      <c r="CK12" s="404">
        <v>566749</v>
      </c>
      <c r="CL12" s="404">
        <v>4735552</v>
      </c>
      <c r="CM12" s="404">
        <v>438507</v>
      </c>
      <c r="CN12" s="404">
        <v>12867193</v>
      </c>
      <c r="CO12" s="404">
        <v>2891810</v>
      </c>
      <c r="CP12" s="404">
        <v>1146967</v>
      </c>
      <c r="CQ12" s="404">
        <v>2961201</v>
      </c>
      <c r="CR12" s="404">
        <v>12024123</v>
      </c>
    </row>
    <row r="13" spans="1:96" s="404" customFormat="1" x14ac:dyDescent="0.3">
      <c r="A13" s="404">
        <v>17</v>
      </c>
      <c r="B13" s="405">
        <v>17</v>
      </c>
      <c r="C13" s="404">
        <v>17</v>
      </c>
      <c r="D13" s="404" t="s">
        <v>209</v>
      </c>
      <c r="E13" s="404" t="s">
        <v>308</v>
      </c>
      <c r="F13" s="404">
        <v>745</v>
      </c>
      <c r="G13" s="404">
        <v>0</v>
      </c>
      <c r="H13" s="404">
        <v>0</v>
      </c>
      <c r="I13" s="404">
        <v>20000</v>
      </c>
      <c r="J13" s="404">
        <v>290000</v>
      </c>
      <c r="K13" s="404">
        <v>0</v>
      </c>
      <c r="L13" s="404">
        <v>4296169</v>
      </c>
      <c r="M13" s="404">
        <v>0</v>
      </c>
      <c r="N13" s="404">
        <v>0</v>
      </c>
      <c r="O13" s="404">
        <v>0</v>
      </c>
      <c r="P13" s="404">
        <v>24000</v>
      </c>
      <c r="Q13" s="404">
        <v>0</v>
      </c>
      <c r="R13" s="404">
        <v>0</v>
      </c>
      <c r="S13" s="404">
        <v>0</v>
      </c>
      <c r="T13" s="404">
        <v>0</v>
      </c>
      <c r="U13" s="404">
        <v>246025</v>
      </c>
      <c r="V13" s="404">
        <v>0</v>
      </c>
      <c r="W13" s="404">
        <v>0</v>
      </c>
      <c r="X13" s="404">
        <v>0</v>
      </c>
      <c r="Y13" s="404">
        <v>0</v>
      </c>
      <c r="Z13" s="404">
        <v>0</v>
      </c>
      <c r="AA13" s="404">
        <v>0</v>
      </c>
      <c r="AB13" s="404">
        <v>1768044</v>
      </c>
      <c r="AC13" s="404">
        <v>0</v>
      </c>
      <c r="AD13" s="404">
        <v>0</v>
      </c>
      <c r="AE13" s="404">
        <v>0</v>
      </c>
      <c r="AF13" s="404">
        <v>10100</v>
      </c>
      <c r="AG13" s="404">
        <v>0</v>
      </c>
      <c r="AH13" s="404">
        <v>177500</v>
      </c>
      <c r="AI13" s="404">
        <v>504469</v>
      </c>
      <c r="AJ13" s="404">
        <v>0</v>
      </c>
      <c r="AK13" s="404">
        <v>0</v>
      </c>
      <c r="AL13" s="404">
        <v>0</v>
      </c>
      <c r="AM13" s="404">
        <v>0</v>
      </c>
      <c r="AN13" s="404">
        <v>32000</v>
      </c>
      <c r="AO13" s="404">
        <v>0</v>
      </c>
      <c r="AP13" s="404">
        <v>0</v>
      </c>
      <c r="AQ13" s="404">
        <v>126935</v>
      </c>
      <c r="AR13" s="404">
        <v>0</v>
      </c>
      <c r="AS13" s="404">
        <v>0</v>
      </c>
      <c r="AT13" s="404">
        <v>0</v>
      </c>
      <c r="AU13" s="404">
        <v>0</v>
      </c>
      <c r="AV13" s="404">
        <v>0</v>
      </c>
      <c r="AW13" s="404">
        <v>0</v>
      </c>
      <c r="AX13" s="404">
        <v>0</v>
      </c>
      <c r="AY13" s="404">
        <v>10000</v>
      </c>
      <c r="AZ13" s="404">
        <v>2022959</v>
      </c>
      <c r="BA13" s="404">
        <v>0</v>
      </c>
      <c r="BB13" s="404">
        <v>200645</v>
      </c>
      <c r="BC13" s="404">
        <v>0</v>
      </c>
      <c r="BD13" s="404">
        <v>0</v>
      </c>
      <c r="BE13" s="404">
        <v>0</v>
      </c>
      <c r="BF13" s="404">
        <v>0</v>
      </c>
      <c r="BG13" s="404">
        <v>0</v>
      </c>
      <c r="BH13" s="404">
        <v>321944</v>
      </c>
      <c r="BI13" s="404">
        <v>2029474</v>
      </c>
      <c r="BJ13" s="404">
        <v>0</v>
      </c>
      <c r="BK13" s="404">
        <v>0</v>
      </c>
      <c r="BL13" s="404">
        <v>0</v>
      </c>
      <c r="BM13" s="404">
        <v>1275600</v>
      </c>
      <c r="BN13" s="404">
        <v>0</v>
      </c>
      <c r="BO13" s="404">
        <v>0</v>
      </c>
      <c r="BP13" s="404">
        <v>0</v>
      </c>
      <c r="BQ13" s="404">
        <v>20766</v>
      </c>
      <c r="BR13" s="404">
        <v>0</v>
      </c>
      <c r="BS13" s="404">
        <v>0</v>
      </c>
      <c r="BT13" s="404">
        <v>0</v>
      </c>
      <c r="BU13" s="404">
        <v>0</v>
      </c>
      <c r="BV13" s="404">
        <v>0</v>
      </c>
      <c r="BW13" s="404">
        <v>0</v>
      </c>
      <c r="BX13" s="404">
        <v>0</v>
      </c>
      <c r="BY13" s="404">
        <v>128482</v>
      </c>
      <c r="BZ13" s="404">
        <v>0</v>
      </c>
      <c r="CA13" s="404">
        <v>0</v>
      </c>
      <c r="CB13" s="404">
        <v>0</v>
      </c>
      <c r="CC13" s="404">
        <v>0</v>
      </c>
      <c r="CD13" s="404">
        <v>3854422</v>
      </c>
      <c r="CE13" s="404">
        <v>0</v>
      </c>
      <c r="CF13" s="404">
        <v>1048000</v>
      </c>
      <c r="CG13" s="404">
        <v>0</v>
      </c>
      <c r="CH13" s="404">
        <v>9139</v>
      </c>
      <c r="CI13" s="404">
        <v>6949959</v>
      </c>
      <c r="CJ13" s="404">
        <v>527200</v>
      </c>
      <c r="CK13" s="404">
        <v>0</v>
      </c>
      <c r="CL13" s="404">
        <v>0</v>
      </c>
      <c r="CM13" s="404">
        <v>0</v>
      </c>
      <c r="CN13" s="404">
        <v>582000</v>
      </c>
      <c r="CO13" s="404">
        <v>86851</v>
      </c>
      <c r="CP13" s="404">
        <v>0</v>
      </c>
      <c r="CQ13" s="404">
        <v>0</v>
      </c>
      <c r="CR13" s="404">
        <v>0</v>
      </c>
    </row>
    <row r="14" spans="1:96" s="404" customFormat="1" x14ac:dyDescent="0.3">
      <c r="A14" s="404">
        <v>19</v>
      </c>
      <c r="B14" s="405"/>
      <c r="C14" s="404">
        <v>19</v>
      </c>
      <c r="D14" s="404" t="s">
        <v>620</v>
      </c>
      <c r="E14" s="404" t="s">
        <v>309</v>
      </c>
    </row>
    <row r="15" spans="1:96" s="404" customFormat="1" x14ac:dyDescent="0.3">
      <c r="A15" s="404">
        <v>20</v>
      </c>
      <c r="B15" s="405">
        <v>20</v>
      </c>
      <c r="C15" s="404">
        <v>20</v>
      </c>
      <c r="D15" s="404" t="s">
        <v>210</v>
      </c>
      <c r="E15" s="404" t="s">
        <v>310</v>
      </c>
      <c r="F15" s="404">
        <v>0</v>
      </c>
      <c r="G15" s="404">
        <v>144385</v>
      </c>
      <c r="H15" s="404">
        <v>0</v>
      </c>
      <c r="I15" s="404">
        <v>0</v>
      </c>
      <c r="J15" s="404">
        <v>0</v>
      </c>
      <c r="K15" s="404">
        <v>0</v>
      </c>
      <c r="L15" s="404">
        <v>36765</v>
      </c>
      <c r="M15" s="404">
        <v>0</v>
      </c>
      <c r="N15" s="404">
        <v>0</v>
      </c>
      <c r="O15" s="404">
        <v>0</v>
      </c>
      <c r="P15" s="404">
        <v>0</v>
      </c>
      <c r="Q15" s="404">
        <v>0</v>
      </c>
      <c r="R15" s="404">
        <v>10007</v>
      </c>
      <c r="S15" s="404">
        <v>0</v>
      </c>
      <c r="T15" s="404">
        <v>0</v>
      </c>
      <c r="U15" s="404">
        <v>0</v>
      </c>
      <c r="V15" s="404">
        <v>1386892</v>
      </c>
      <c r="W15" s="404">
        <v>266270</v>
      </c>
      <c r="X15" s="404">
        <v>125000</v>
      </c>
      <c r="Y15" s="404">
        <v>224687</v>
      </c>
      <c r="Z15" s="404">
        <v>76866</v>
      </c>
      <c r="AA15" s="404">
        <v>0</v>
      </c>
      <c r="AB15" s="404">
        <v>0</v>
      </c>
      <c r="AC15" s="404">
        <v>0</v>
      </c>
      <c r="AD15" s="404">
        <v>0</v>
      </c>
      <c r="AE15" s="404">
        <v>0</v>
      </c>
      <c r="AF15" s="404">
        <v>798042</v>
      </c>
      <c r="AG15" s="404">
        <v>0</v>
      </c>
      <c r="AH15" s="404">
        <v>177500</v>
      </c>
      <c r="AI15" s="404">
        <v>524515</v>
      </c>
      <c r="AJ15" s="404">
        <v>0</v>
      </c>
      <c r="AK15" s="404">
        <v>1255355</v>
      </c>
      <c r="AL15" s="404">
        <v>100000</v>
      </c>
      <c r="AM15" s="404">
        <v>49929</v>
      </c>
      <c r="AN15" s="404">
        <v>10000</v>
      </c>
      <c r="AO15" s="404">
        <v>0</v>
      </c>
      <c r="AP15" s="404">
        <v>0</v>
      </c>
      <c r="AQ15" s="404">
        <v>119625</v>
      </c>
      <c r="AR15" s="404">
        <v>0</v>
      </c>
      <c r="AS15" s="404">
        <v>0</v>
      </c>
      <c r="AT15" s="404">
        <v>0</v>
      </c>
      <c r="AU15" s="404">
        <v>0</v>
      </c>
      <c r="AV15" s="404">
        <v>0</v>
      </c>
      <c r="AW15" s="404">
        <v>0</v>
      </c>
      <c r="AX15" s="404">
        <v>117275</v>
      </c>
      <c r="AY15" s="404">
        <v>0</v>
      </c>
      <c r="AZ15" s="404">
        <v>5760315</v>
      </c>
      <c r="BA15" s="404">
        <v>0</v>
      </c>
      <c r="BB15" s="404">
        <v>0</v>
      </c>
      <c r="BC15" s="404">
        <v>603562</v>
      </c>
      <c r="BD15" s="404">
        <v>0</v>
      </c>
      <c r="BE15" s="404">
        <v>0</v>
      </c>
      <c r="BF15" s="404">
        <v>0</v>
      </c>
      <c r="BG15" s="404">
        <v>32000</v>
      </c>
      <c r="BH15" s="404">
        <v>0</v>
      </c>
      <c r="BI15" s="404">
        <v>4283372</v>
      </c>
      <c r="BJ15" s="404">
        <v>0</v>
      </c>
      <c r="BK15" s="404">
        <v>0</v>
      </c>
      <c r="BL15" s="404">
        <v>1419172</v>
      </c>
      <c r="BM15" s="404">
        <v>0</v>
      </c>
      <c r="BN15" s="404">
        <v>606754</v>
      </c>
      <c r="BO15" s="404">
        <v>0</v>
      </c>
      <c r="BP15" s="404">
        <v>0</v>
      </c>
      <c r="BQ15" s="404">
        <v>213554</v>
      </c>
      <c r="BR15" s="404">
        <v>0</v>
      </c>
      <c r="BS15" s="404">
        <v>535523</v>
      </c>
      <c r="BT15" s="404">
        <v>0</v>
      </c>
      <c r="BU15" s="404">
        <v>0</v>
      </c>
      <c r="BV15" s="404">
        <v>9472</v>
      </c>
      <c r="BW15" s="404">
        <v>0</v>
      </c>
      <c r="BX15" s="404">
        <v>11416</v>
      </c>
      <c r="BY15" s="404">
        <v>126629</v>
      </c>
      <c r="BZ15" s="404">
        <v>0</v>
      </c>
      <c r="CA15" s="404">
        <v>0</v>
      </c>
      <c r="CB15" s="404">
        <v>122957</v>
      </c>
      <c r="CC15" s="404">
        <v>11554463</v>
      </c>
      <c r="CD15" s="404">
        <v>4521243</v>
      </c>
      <c r="CE15" s="404">
        <v>0</v>
      </c>
      <c r="CF15" s="404">
        <v>0</v>
      </c>
      <c r="CG15" s="404">
        <v>0</v>
      </c>
      <c r="CH15" s="404">
        <v>0</v>
      </c>
      <c r="CI15" s="404">
        <v>6313117</v>
      </c>
      <c r="CJ15" s="404">
        <v>20744</v>
      </c>
      <c r="CK15" s="404">
        <v>0</v>
      </c>
      <c r="CL15" s="404">
        <v>0</v>
      </c>
      <c r="CM15" s="404">
        <v>0</v>
      </c>
      <c r="CN15" s="404">
        <v>2041574</v>
      </c>
      <c r="CO15" s="404">
        <v>66330</v>
      </c>
      <c r="CP15" s="404">
        <v>0</v>
      </c>
      <c r="CQ15" s="404">
        <v>10425</v>
      </c>
      <c r="CR15" s="404">
        <v>80000</v>
      </c>
    </row>
    <row r="16" spans="1:96" s="404" customFormat="1" x14ac:dyDescent="0.3">
      <c r="A16" s="404">
        <v>21</v>
      </c>
      <c r="B16" s="405"/>
      <c r="C16" s="404">
        <v>21</v>
      </c>
      <c r="D16" s="404" t="s">
        <v>621</v>
      </c>
      <c r="E16" s="404" t="s">
        <v>311</v>
      </c>
    </row>
    <row r="17" spans="1:96" s="404" customFormat="1" x14ac:dyDescent="0.3">
      <c r="A17" s="404">
        <v>22</v>
      </c>
      <c r="B17" s="405">
        <v>22</v>
      </c>
      <c r="C17" s="404">
        <v>22</v>
      </c>
      <c r="D17" s="404" t="s">
        <v>212</v>
      </c>
      <c r="E17" s="404" t="s">
        <v>312</v>
      </c>
      <c r="F17" s="404">
        <v>0</v>
      </c>
      <c r="G17" s="404">
        <v>0</v>
      </c>
      <c r="H17" s="404">
        <v>0</v>
      </c>
      <c r="I17" s="404">
        <v>194473</v>
      </c>
      <c r="J17" s="404">
        <v>6465</v>
      </c>
      <c r="K17" s="404">
        <v>0</v>
      </c>
      <c r="L17" s="404">
        <v>0</v>
      </c>
      <c r="M17" s="404">
        <v>134054</v>
      </c>
      <c r="N17" s="404">
        <v>0</v>
      </c>
      <c r="O17" s="404">
        <v>0</v>
      </c>
      <c r="P17" s="404">
        <v>0</v>
      </c>
      <c r="Q17" s="404">
        <v>0</v>
      </c>
      <c r="R17" s="404">
        <v>0</v>
      </c>
      <c r="S17" s="404">
        <v>2701</v>
      </c>
      <c r="T17" s="404">
        <v>3600</v>
      </c>
      <c r="U17" s="404">
        <v>462342</v>
      </c>
      <c r="V17" s="404">
        <v>0</v>
      </c>
      <c r="W17" s="404">
        <v>0</v>
      </c>
      <c r="X17" s="404">
        <v>0</v>
      </c>
      <c r="Y17" s="404">
        <v>0</v>
      </c>
      <c r="Z17" s="404">
        <v>7850</v>
      </c>
      <c r="AA17" s="404">
        <v>0</v>
      </c>
      <c r="AB17" s="404">
        <v>0</v>
      </c>
      <c r="AC17" s="404">
        <v>0</v>
      </c>
      <c r="AD17" s="404">
        <v>0</v>
      </c>
      <c r="AE17" s="404">
        <v>0</v>
      </c>
      <c r="AF17" s="404">
        <v>0</v>
      </c>
      <c r="AG17" s="404">
        <v>0</v>
      </c>
      <c r="AH17" s="404">
        <v>0</v>
      </c>
      <c r="AI17" s="404">
        <v>0</v>
      </c>
      <c r="AJ17" s="404">
        <v>0</v>
      </c>
      <c r="AK17" s="404">
        <v>0</v>
      </c>
      <c r="AL17" s="404">
        <v>10417</v>
      </c>
      <c r="AM17" s="404">
        <v>0</v>
      </c>
      <c r="AN17" s="404">
        <v>8290</v>
      </c>
      <c r="AO17" s="404">
        <v>0</v>
      </c>
      <c r="AP17" s="404">
        <v>0</v>
      </c>
      <c r="AQ17" s="404">
        <v>0</v>
      </c>
      <c r="AR17" s="404">
        <v>0</v>
      </c>
      <c r="AS17" s="404">
        <v>0</v>
      </c>
      <c r="AT17" s="404">
        <v>0</v>
      </c>
      <c r="AU17" s="404">
        <v>50000</v>
      </c>
      <c r="AV17" s="404">
        <v>0</v>
      </c>
      <c r="AW17" s="404">
        <v>66108</v>
      </c>
      <c r="AX17" s="404">
        <v>12207</v>
      </c>
      <c r="AY17" s="404">
        <v>0</v>
      </c>
      <c r="AZ17" s="404">
        <v>0</v>
      </c>
      <c r="BA17" s="404">
        <v>0</v>
      </c>
      <c r="BB17" s="404">
        <v>0</v>
      </c>
      <c r="BC17" s="404">
        <v>0</v>
      </c>
      <c r="BD17" s="404">
        <v>0</v>
      </c>
      <c r="BE17" s="404">
        <v>0</v>
      </c>
      <c r="BF17" s="404">
        <v>0</v>
      </c>
      <c r="BG17" s="404">
        <v>1550</v>
      </c>
      <c r="BH17" s="404">
        <v>16974</v>
      </c>
      <c r="BI17" s="404">
        <v>0</v>
      </c>
      <c r="BJ17" s="404">
        <v>0</v>
      </c>
      <c r="BK17" s="404">
        <v>0</v>
      </c>
      <c r="BL17" s="404">
        <v>11821</v>
      </c>
      <c r="BM17" s="404">
        <v>23371</v>
      </c>
      <c r="BN17" s="404">
        <v>29140</v>
      </c>
      <c r="BO17" s="404">
        <v>0</v>
      </c>
      <c r="BP17" s="404">
        <v>0</v>
      </c>
      <c r="BQ17" s="404">
        <v>0</v>
      </c>
      <c r="BR17" s="404">
        <v>5051</v>
      </c>
      <c r="BS17" s="404">
        <v>0</v>
      </c>
      <c r="BT17" s="404">
        <v>0</v>
      </c>
      <c r="BU17" s="404">
        <v>0</v>
      </c>
      <c r="BV17" s="404">
        <v>0</v>
      </c>
      <c r="BW17" s="404">
        <v>0</v>
      </c>
      <c r="BX17" s="404">
        <v>0</v>
      </c>
      <c r="BY17" s="404">
        <v>0</v>
      </c>
      <c r="BZ17" s="404">
        <v>0</v>
      </c>
      <c r="CA17" s="404">
        <v>0</v>
      </c>
      <c r="CB17" s="404">
        <v>82787</v>
      </c>
      <c r="CC17" s="404">
        <v>0</v>
      </c>
      <c r="CD17" s="404">
        <v>80089</v>
      </c>
      <c r="CE17" s="404">
        <v>2711</v>
      </c>
      <c r="CF17" s="404">
        <v>76937</v>
      </c>
      <c r="CG17" s="404">
        <v>0</v>
      </c>
      <c r="CH17" s="404">
        <v>0</v>
      </c>
      <c r="CI17" s="404">
        <v>0</v>
      </c>
      <c r="CJ17" s="404">
        <v>0</v>
      </c>
      <c r="CK17" s="404">
        <v>0</v>
      </c>
      <c r="CL17" s="404">
        <v>16842</v>
      </c>
      <c r="CM17" s="404">
        <v>0</v>
      </c>
      <c r="CN17" s="404">
        <v>0</v>
      </c>
      <c r="CO17" s="404">
        <v>0</v>
      </c>
      <c r="CP17" s="404">
        <v>0</v>
      </c>
      <c r="CQ17" s="404">
        <v>207418</v>
      </c>
      <c r="CR17" s="404">
        <v>0</v>
      </c>
    </row>
    <row r="18" spans="1:96" s="404" customFormat="1" x14ac:dyDescent="0.3">
      <c r="A18" s="404">
        <v>23</v>
      </c>
      <c r="B18" s="405">
        <v>23</v>
      </c>
      <c r="C18" s="404">
        <v>23</v>
      </c>
      <c r="D18" s="404" t="s">
        <v>215</v>
      </c>
      <c r="E18" s="404" t="s">
        <v>313</v>
      </c>
      <c r="F18" s="404">
        <v>-85711</v>
      </c>
      <c r="G18" s="404">
        <v>146849</v>
      </c>
      <c r="H18" s="404">
        <v>-27409</v>
      </c>
      <c r="I18" s="404">
        <v>635675</v>
      </c>
      <c r="J18" s="404">
        <v>46858</v>
      </c>
      <c r="K18" s="404">
        <v>69941</v>
      </c>
      <c r="L18" s="404">
        <v>3538057</v>
      </c>
      <c r="M18" s="404">
        <v>-50972</v>
      </c>
      <c r="N18" s="404">
        <v>-126473</v>
      </c>
      <c r="O18" s="404">
        <v>-77917</v>
      </c>
      <c r="P18" s="404">
        <v>74080</v>
      </c>
      <c r="Q18" s="404">
        <v>17970</v>
      </c>
      <c r="R18" s="404">
        <v>26592</v>
      </c>
      <c r="S18" s="404">
        <v>100295</v>
      </c>
      <c r="T18" s="404">
        <v>36137</v>
      </c>
      <c r="U18" s="404">
        <v>1596889</v>
      </c>
      <c r="V18" s="404">
        <v>31077</v>
      </c>
      <c r="W18" s="404">
        <v>269730</v>
      </c>
      <c r="X18" s="404">
        <v>212170</v>
      </c>
      <c r="Y18" s="404">
        <v>939801</v>
      </c>
      <c r="Z18" s="404">
        <v>502790</v>
      </c>
      <c r="AA18" s="404">
        <v>-22449</v>
      </c>
      <c r="AB18" s="404">
        <v>93574</v>
      </c>
      <c r="AC18" s="404">
        <v>306991</v>
      </c>
      <c r="AD18" s="404">
        <v>171647</v>
      </c>
      <c r="AE18" s="404">
        <v>49271</v>
      </c>
      <c r="AF18" s="404">
        <v>143882</v>
      </c>
      <c r="AG18" s="404">
        <v>-136250</v>
      </c>
      <c r="AH18" s="404">
        <v>218595</v>
      </c>
      <c r="AI18" s="404">
        <v>-147817</v>
      </c>
      <c r="AJ18" s="404">
        <v>69938</v>
      </c>
      <c r="AK18" s="404">
        <v>617148</v>
      </c>
      <c r="AL18" s="404">
        <v>819271</v>
      </c>
      <c r="AM18" s="404">
        <v>11526</v>
      </c>
      <c r="AN18" s="404">
        <v>61656</v>
      </c>
      <c r="AO18" s="404">
        <v>-29088</v>
      </c>
      <c r="AP18" s="404">
        <v>171345</v>
      </c>
      <c r="AQ18" s="404">
        <v>363880</v>
      </c>
      <c r="AR18" s="404">
        <v>0</v>
      </c>
      <c r="AS18" s="404">
        <v>100947</v>
      </c>
      <c r="AT18" s="404">
        <v>19909</v>
      </c>
      <c r="AU18" s="404">
        <v>95679</v>
      </c>
      <c r="AV18" s="404">
        <v>-635</v>
      </c>
      <c r="AW18" s="404">
        <v>30248</v>
      </c>
      <c r="AX18" s="404">
        <v>-4199</v>
      </c>
      <c r="AY18" s="404">
        <v>103529</v>
      </c>
      <c r="AZ18" s="404">
        <v>-1355894</v>
      </c>
      <c r="BA18" s="404">
        <v>109700</v>
      </c>
      <c r="BB18" s="404">
        <v>672926</v>
      </c>
      <c r="BC18" s="404">
        <v>-100829</v>
      </c>
      <c r="BD18" s="404">
        <v>172407</v>
      </c>
      <c r="BE18" s="404">
        <v>421703</v>
      </c>
      <c r="BF18" s="404">
        <v>25639</v>
      </c>
      <c r="BG18" s="404">
        <v>48532</v>
      </c>
      <c r="BH18" s="404">
        <v>508381</v>
      </c>
      <c r="BI18" s="404">
        <v>-4022119</v>
      </c>
      <c r="BJ18" s="404">
        <v>-64656</v>
      </c>
      <c r="BK18" s="404">
        <v>3782</v>
      </c>
      <c r="BL18" s="404">
        <v>929301</v>
      </c>
      <c r="BM18" s="404">
        <v>2451797</v>
      </c>
      <c r="BN18" s="404">
        <v>-478053</v>
      </c>
      <c r="BO18" s="404">
        <v>-9765</v>
      </c>
      <c r="BP18" s="404">
        <v>243119</v>
      </c>
      <c r="BQ18" s="404">
        <v>-159310</v>
      </c>
      <c r="BR18" s="404">
        <v>243409</v>
      </c>
      <c r="BS18" s="404">
        <v>-194196</v>
      </c>
      <c r="BT18" s="404">
        <v>532727</v>
      </c>
      <c r="BU18" s="404">
        <v>368715</v>
      </c>
      <c r="BV18" s="404">
        <v>208560</v>
      </c>
      <c r="BW18" s="404">
        <v>0</v>
      </c>
      <c r="BX18" s="404">
        <v>233437</v>
      </c>
      <c r="BY18" s="404">
        <v>-408776</v>
      </c>
      <c r="BZ18" s="404">
        <v>-7643</v>
      </c>
      <c r="CA18" s="404">
        <v>0</v>
      </c>
      <c r="CB18" s="404">
        <v>138192</v>
      </c>
      <c r="CC18" s="404">
        <v>13578650</v>
      </c>
      <c r="CD18" s="404">
        <v>-4943</v>
      </c>
      <c r="CE18" s="404">
        <v>190104</v>
      </c>
      <c r="CF18" s="404">
        <v>282579</v>
      </c>
      <c r="CG18" s="404">
        <v>-33485</v>
      </c>
      <c r="CH18" s="404">
        <v>286568</v>
      </c>
      <c r="CI18" s="404">
        <v>-2411620</v>
      </c>
      <c r="CJ18" s="404">
        <v>-662035</v>
      </c>
      <c r="CK18" s="404">
        <v>208146</v>
      </c>
      <c r="CL18" s="404">
        <v>127308</v>
      </c>
      <c r="CM18" s="404">
        <v>98598</v>
      </c>
      <c r="CN18" s="404">
        <v>688144</v>
      </c>
      <c r="CO18" s="404">
        <v>398538</v>
      </c>
      <c r="CP18" s="404">
        <v>227699</v>
      </c>
      <c r="CQ18" s="404">
        <v>797248</v>
      </c>
      <c r="CR18" s="404">
        <v>1837241</v>
      </c>
    </row>
    <row r="19" spans="1:96" s="404" customFormat="1" x14ac:dyDescent="0.3">
      <c r="A19" s="404">
        <v>31</v>
      </c>
      <c r="B19" s="405"/>
      <c r="C19" s="404">
        <v>31</v>
      </c>
      <c r="D19" s="404" t="s">
        <v>622</v>
      </c>
      <c r="E19" s="404" t="s">
        <v>314</v>
      </c>
    </row>
    <row r="20" spans="1:96" s="404" customFormat="1" x14ac:dyDescent="0.3">
      <c r="A20" s="404">
        <v>32</v>
      </c>
      <c r="B20" s="405"/>
      <c r="C20" s="404">
        <v>32</v>
      </c>
      <c r="D20" s="404" t="s">
        <v>315</v>
      </c>
      <c r="E20" s="404" t="s">
        <v>316</v>
      </c>
    </row>
    <row r="21" spans="1:96" s="404" customFormat="1" x14ac:dyDescent="0.3">
      <c r="A21" s="404">
        <v>33</v>
      </c>
      <c r="B21" s="405"/>
      <c r="C21" s="404">
        <v>33</v>
      </c>
      <c r="D21" s="404" t="s">
        <v>317</v>
      </c>
      <c r="E21" s="404" t="s">
        <v>318</v>
      </c>
    </row>
    <row r="22" spans="1:96" s="404" customFormat="1" x14ac:dyDescent="0.3">
      <c r="A22" s="404">
        <v>34</v>
      </c>
      <c r="B22" s="405"/>
      <c r="C22" s="404">
        <v>34</v>
      </c>
      <c r="D22" s="404" t="s">
        <v>319</v>
      </c>
      <c r="E22" s="404" t="s">
        <v>320</v>
      </c>
    </row>
    <row r="23" spans="1:96" s="404" customFormat="1" x14ac:dyDescent="0.3">
      <c r="A23" s="404">
        <v>35</v>
      </c>
      <c r="B23" s="405"/>
      <c r="C23" s="404">
        <v>35</v>
      </c>
      <c r="D23" s="404" t="s">
        <v>623</v>
      </c>
      <c r="E23" s="404" t="s">
        <v>321</v>
      </c>
    </row>
    <row r="24" spans="1:96" s="404" customFormat="1" x14ac:dyDescent="0.3">
      <c r="A24" s="404">
        <v>36</v>
      </c>
      <c r="B24" s="405"/>
      <c r="C24" s="404">
        <v>36</v>
      </c>
      <c r="D24" s="404" t="s">
        <v>624</v>
      </c>
      <c r="E24" s="404" t="s">
        <v>322</v>
      </c>
    </row>
    <row r="25" spans="1:96" s="404" customFormat="1" x14ac:dyDescent="0.3">
      <c r="A25" s="404">
        <v>37</v>
      </c>
      <c r="B25" s="405"/>
      <c r="C25" s="404">
        <v>37</v>
      </c>
      <c r="D25" s="404" t="s">
        <v>323</v>
      </c>
      <c r="E25" s="404" t="s">
        <v>324</v>
      </c>
    </row>
    <row r="26" spans="1:96" s="404" customFormat="1" x14ac:dyDescent="0.3">
      <c r="A26" s="404">
        <v>38</v>
      </c>
      <c r="B26" s="405"/>
      <c r="C26" s="404">
        <v>38</v>
      </c>
      <c r="D26" s="404" t="s">
        <v>625</v>
      </c>
      <c r="E26" s="404" t="s">
        <v>325</v>
      </c>
    </row>
    <row r="27" spans="1:96" s="404" customFormat="1" x14ac:dyDescent="0.3">
      <c r="A27" s="404">
        <v>39</v>
      </c>
      <c r="B27" s="405"/>
      <c r="C27" s="404">
        <v>39</v>
      </c>
      <c r="D27" s="404" t="s">
        <v>326</v>
      </c>
      <c r="E27" s="404" t="s">
        <v>327</v>
      </c>
    </row>
    <row r="28" spans="1:96" s="404" customFormat="1" x14ac:dyDescent="0.3">
      <c r="A28" s="404">
        <v>40</v>
      </c>
      <c r="B28" s="405"/>
      <c r="C28" s="404">
        <v>40</v>
      </c>
      <c r="D28" s="404" t="s">
        <v>328</v>
      </c>
      <c r="E28" s="404" t="s">
        <v>329</v>
      </c>
    </row>
    <row r="29" spans="1:96" s="404" customFormat="1" x14ac:dyDescent="0.3">
      <c r="A29" s="404">
        <v>41</v>
      </c>
      <c r="B29" s="405"/>
      <c r="C29" s="404">
        <v>41</v>
      </c>
      <c r="D29" s="404" t="s">
        <v>330</v>
      </c>
      <c r="E29" s="404" t="s">
        <v>331</v>
      </c>
    </row>
    <row r="30" spans="1:96" s="404" customFormat="1" x14ac:dyDescent="0.3">
      <c r="A30" s="404">
        <v>43</v>
      </c>
      <c r="B30" s="405"/>
      <c r="C30" s="404">
        <v>43</v>
      </c>
      <c r="D30" s="404" t="s">
        <v>332</v>
      </c>
      <c r="E30" s="404" t="s">
        <v>333</v>
      </c>
    </row>
    <row r="31" spans="1:96" s="404" customFormat="1" x14ac:dyDescent="0.3">
      <c r="A31" s="404">
        <v>44</v>
      </c>
      <c r="B31" s="405"/>
      <c r="C31" s="404">
        <v>44</v>
      </c>
      <c r="D31" s="404" t="s">
        <v>626</v>
      </c>
      <c r="E31" s="404" t="s">
        <v>334</v>
      </c>
      <c r="F31" s="404">
        <v>0</v>
      </c>
      <c r="G31" s="404">
        <v>0</v>
      </c>
      <c r="H31" s="404">
        <v>688295</v>
      </c>
      <c r="I31" s="404">
        <v>1273189</v>
      </c>
      <c r="J31" s="404">
        <v>2184054</v>
      </c>
      <c r="K31" s="404">
        <v>164556</v>
      </c>
      <c r="L31" s="404">
        <v>19847637</v>
      </c>
      <c r="M31" s="404">
        <v>747193</v>
      </c>
      <c r="N31" s="404">
        <v>0</v>
      </c>
      <c r="O31" s="404">
        <v>1536884</v>
      </c>
      <c r="P31" s="404">
        <v>220824</v>
      </c>
      <c r="Q31" s="404">
        <v>0</v>
      </c>
      <c r="R31" s="404">
        <v>87704</v>
      </c>
      <c r="S31" s="404">
        <v>0</v>
      </c>
      <c r="T31" s="404">
        <v>0</v>
      </c>
      <c r="U31" s="404">
        <v>0</v>
      </c>
      <c r="V31" s="404">
        <v>5959348</v>
      </c>
      <c r="W31" s="404">
        <v>0</v>
      </c>
      <c r="X31" s="404">
        <v>2657370</v>
      </c>
      <c r="Y31" s="404">
        <v>0</v>
      </c>
      <c r="Z31" s="404">
        <v>2287113</v>
      </c>
      <c r="AA31" s="404">
        <v>0</v>
      </c>
      <c r="AB31" s="404">
        <v>2871984</v>
      </c>
      <c r="AC31" s="404">
        <v>2697373</v>
      </c>
      <c r="AD31" s="404">
        <v>189251</v>
      </c>
      <c r="AE31" s="404">
        <v>0</v>
      </c>
      <c r="AF31" s="404">
        <v>12984915</v>
      </c>
      <c r="AG31" s="404">
        <v>0</v>
      </c>
      <c r="AH31" s="404">
        <v>1997025</v>
      </c>
      <c r="AI31" s="404">
        <v>0</v>
      </c>
      <c r="AJ31" s="404">
        <v>504633</v>
      </c>
      <c r="AK31" s="404">
        <v>2077419</v>
      </c>
      <c r="AL31" s="404">
        <v>1669870</v>
      </c>
      <c r="AM31" s="404">
        <v>951778</v>
      </c>
      <c r="AN31" s="404">
        <v>0</v>
      </c>
      <c r="AO31" s="404">
        <v>63933</v>
      </c>
      <c r="AP31" s="404">
        <v>0</v>
      </c>
      <c r="AQ31" s="404">
        <v>1637391</v>
      </c>
      <c r="AR31" s="404">
        <v>0</v>
      </c>
      <c r="AS31" s="404">
        <v>0</v>
      </c>
      <c r="AT31" s="404">
        <v>0</v>
      </c>
      <c r="AU31" s="404">
        <v>0</v>
      </c>
      <c r="AV31" s="404">
        <v>0</v>
      </c>
      <c r="AW31" s="404">
        <v>197146</v>
      </c>
      <c r="AX31" s="404">
        <v>3024911</v>
      </c>
      <c r="AY31" s="404">
        <v>435675</v>
      </c>
      <c r="AZ31" s="404">
        <v>0</v>
      </c>
      <c r="BA31" s="404">
        <v>456225</v>
      </c>
      <c r="BB31" s="404">
        <v>3083289</v>
      </c>
      <c r="BC31" s="404">
        <v>0</v>
      </c>
      <c r="BD31" s="404">
        <v>1733950</v>
      </c>
      <c r="BE31" s="404">
        <v>1172247</v>
      </c>
      <c r="BF31" s="404">
        <v>160695</v>
      </c>
      <c r="BG31" s="404">
        <v>889007</v>
      </c>
      <c r="BH31" s="404">
        <v>2259651</v>
      </c>
      <c r="BI31" s="404">
        <v>7769621</v>
      </c>
      <c r="BJ31" s="404">
        <v>0</v>
      </c>
      <c r="BK31" s="404">
        <v>0</v>
      </c>
      <c r="BL31" s="404">
        <v>0</v>
      </c>
      <c r="BM31" s="404">
        <v>5313861</v>
      </c>
      <c r="BN31" s="404">
        <v>3867236</v>
      </c>
      <c r="BO31" s="404">
        <v>0</v>
      </c>
      <c r="BP31" s="404">
        <v>0</v>
      </c>
      <c r="BQ31" s="404">
        <v>2487314</v>
      </c>
      <c r="BR31" s="404">
        <v>0</v>
      </c>
      <c r="BS31" s="404">
        <v>0</v>
      </c>
      <c r="BT31" s="404">
        <v>0</v>
      </c>
      <c r="BU31" s="404">
        <v>1097384</v>
      </c>
      <c r="BV31" s="404">
        <v>0</v>
      </c>
      <c r="BW31" s="404">
        <v>0</v>
      </c>
      <c r="BX31" s="404">
        <v>0</v>
      </c>
      <c r="BY31" s="404">
        <v>2952434</v>
      </c>
      <c r="BZ31" s="404">
        <v>81365</v>
      </c>
      <c r="CA31" s="404">
        <v>0</v>
      </c>
      <c r="CB31" s="404">
        <v>7710067</v>
      </c>
      <c r="CC31" s="404">
        <v>0</v>
      </c>
      <c r="CD31" s="404">
        <v>21464522</v>
      </c>
      <c r="CE31" s="404">
        <v>40995</v>
      </c>
      <c r="CF31" s="404">
        <v>7807545</v>
      </c>
      <c r="CG31" s="404">
        <v>63845</v>
      </c>
      <c r="CH31" s="404">
        <v>1193620</v>
      </c>
      <c r="CI31" s="404">
        <v>94355028</v>
      </c>
      <c r="CJ31" s="404">
        <v>2859391</v>
      </c>
      <c r="CK31" s="404">
        <v>0</v>
      </c>
      <c r="CL31" s="404">
        <v>0</v>
      </c>
      <c r="CM31" s="404">
        <v>372254</v>
      </c>
      <c r="CN31" s="404">
        <v>8456125</v>
      </c>
      <c r="CO31" s="404">
        <v>3725506</v>
      </c>
      <c r="CP31" s="404">
        <v>2473825</v>
      </c>
      <c r="CQ31" s="404">
        <v>0</v>
      </c>
      <c r="CR31" s="404">
        <v>0</v>
      </c>
    </row>
    <row r="32" spans="1:96" s="404" customFormat="1" x14ac:dyDescent="0.3">
      <c r="A32" s="404">
        <v>45</v>
      </c>
      <c r="B32" s="405"/>
      <c r="C32" s="404">
        <v>45</v>
      </c>
      <c r="D32" s="404" t="s">
        <v>627</v>
      </c>
      <c r="E32" s="404" t="s">
        <v>335</v>
      </c>
      <c r="F32" s="404">
        <v>0</v>
      </c>
      <c r="G32" s="404">
        <v>0</v>
      </c>
      <c r="H32" s="404">
        <v>43911</v>
      </c>
      <c r="I32" s="404">
        <v>801049</v>
      </c>
      <c r="J32" s="404">
        <v>86287</v>
      </c>
      <c r="K32" s="404">
        <v>120624</v>
      </c>
      <c r="L32" s="404">
        <v>3384075</v>
      </c>
      <c r="M32" s="404">
        <v>90083</v>
      </c>
      <c r="N32" s="404">
        <v>0</v>
      </c>
      <c r="O32" s="404">
        <v>54328</v>
      </c>
      <c r="P32" s="404">
        <v>219679</v>
      </c>
      <c r="Q32" s="404">
        <v>0</v>
      </c>
      <c r="R32" s="404">
        <v>45329</v>
      </c>
      <c r="S32" s="404">
        <v>0</v>
      </c>
      <c r="T32" s="404">
        <v>0</v>
      </c>
      <c r="U32" s="404">
        <v>0</v>
      </c>
      <c r="V32" s="404">
        <v>310555</v>
      </c>
      <c r="W32" s="404">
        <v>0</v>
      </c>
      <c r="X32" s="404">
        <v>128484</v>
      </c>
      <c r="Y32" s="404">
        <v>0</v>
      </c>
      <c r="Z32" s="404">
        <v>575518</v>
      </c>
      <c r="AA32" s="404">
        <v>0</v>
      </c>
      <c r="AB32" s="404">
        <v>124813</v>
      </c>
      <c r="AC32" s="404">
        <v>432535</v>
      </c>
      <c r="AD32" s="404">
        <v>451477</v>
      </c>
      <c r="AE32" s="404">
        <v>0</v>
      </c>
      <c r="AF32" s="404">
        <v>4344901</v>
      </c>
      <c r="AG32" s="404">
        <v>0</v>
      </c>
      <c r="AH32" s="404">
        <v>371098</v>
      </c>
      <c r="AI32" s="404">
        <v>0</v>
      </c>
      <c r="AJ32" s="404">
        <v>19529</v>
      </c>
      <c r="AK32" s="404">
        <v>1842977</v>
      </c>
      <c r="AL32" s="404">
        <v>315810</v>
      </c>
      <c r="AM32" s="404">
        <v>349412</v>
      </c>
      <c r="AN32" s="404">
        <v>0</v>
      </c>
      <c r="AO32" s="404">
        <v>6488</v>
      </c>
      <c r="AP32" s="404">
        <v>0</v>
      </c>
      <c r="AQ32" s="404">
        <v>327427</v>
      </c>
      <c r="AR32" s="404">
        <v>0</v>
      </c>
      <c r="AS32" s="404">
        <v>0</v>
      </c>
      <c r="AT32" s="404">
        <v>0</v>
      </c>
      <c r="AU32" s="404">
        <v>0</v>
      </c>
      <c r="AV32" s="404">
        <v>0</v>
      </c>
      <c r="AW32" s="404">
        <v>28256</v>
      </c>
      <c r="AX32" s="404">
        <v>198173</v>
      </c>
      <c r="AY32" s="404">
        <v>25412</v>
      </c>
      <c r="AZ32" s="404">
        <v>0</v>
      </c>
      <c r="BA32" s="404">
        <v>210648</v>
      </c>
      <c r="BB32" s="404">
        <v>166273</v>
      </c>
      <c r="BC32" s="404">
        <v>0</v>
      </c>
      <c r="BD32" s="404">
        <v>137064</v>
      </c>
      <c r="BE32" s="404">
        <v>114283</v>
      </c>
      <c r="BF32" s="404">
        <v>-88287</v>
      </c>
      <c r="BG32" s="404">
        <v>216550</v>
      </c>
      <c r="BH32" s="404">
        <v>269387</v>
      </c>
      <c r="BI32" s="404">
        <v>403361</v>
      </c>
      <c r="BJ32" s="404">
        <v>0</v>
      </c>
      <c r="BK32" s="404">
        <v>0</v>
      </c>
      <c r="BL32" s="404">
        <v>0</v>
      </c>
      <c r="BM32" s="404">
        <v>358493</v>
      </c>
      <c r="BN32" s="404">
        <v>753980</v>
      </c>
      <c r="BO32" s="404">
        <v>0</v>
      </c>
      <c r="BP32" s="404">
        <v>0</v>
      </c>
      <c r="BQ32" s="404">
        <v>64199</v>
      </c>
      <c r="BR32" s="404">
        <v>0</v>
      </c>
      <c r="BS32" s="404">
        <v>0</v>
      </c>
      <c r="BT32" s="404">
        <v>0</v>
      </c>
      <c r="BU32" s="404">
        <v>153348</v>
      </c>
      <c r="BV32" s="404">
        <v>0</v>
      </c>
      <c r="BW32" s="404">
        <v>0</v>
      </c>
      <c r="BX32" s="404">
        <v>0</v>
      </c>
      <c r="BY32" s="404">
        <v>887988</v>
      </c>
      <c r="BZ32" s="404">
        <v>2415</v>
      </c>
      <c r="CA32" s="404">
        <v>0</v>
      </c>
      <c r="CB32" s="404">
        <v>717825</v>
      </c>
      <c r="CC32" s="404">
        <v>0</v>
      </c>
      <c r="CD32" s="404">
        <v>3353656</v>
      </c>
      <c r="CE32" s="404">
        <v>520</v>
      </c>
      <c r="CF32" s="404">
        <v>415355</v>
      </c>
      <c r="CG32" s="404">
        <v>85755</v>
      </c>
      <c r="CH32" s="404">
        <v>363668</v>
      </c>
      <c r="CI32" s="404">
        <v>30736341</v>
      </c>
      <c r="CJ32" s="404">
        <v>677821</v>
      </c>
      <c r="CK32" s="404">
        <v>0</v>
      </c>
      <c r="CL32" s="404">
        <v>0</v>
      </c>
      <c r="CM32" s="404">
        <v>57658</v>
      </c>
      <c r="CN32" s="404">
        <v>121778</v>
      </c>
      <c r="CO32" s="404">
        <v>37336</v>
      </c>
      <c r="CP32" s="404">
        <v>314659</v>
      </c>
      <c r="CQ32" s="404">
        <v>0</v>
      </c>
      <c r="CR32" s="404">
        <v>0</v>
      </c>
    </row>
    <row r="33" spans="1:96" s="404" customFormat="1" x14ac:dyDescent="0.3">
      <c r="A33" s="404">
        <v>46</v>
      </c>
      <c r="B33" s="405"/>
      <c r="C33" s="404">
        <v>46</v>
      </c>
      <c r="D33" s="404" t="s">
        <v>628</v>
      </c>
      <c r="E33" s="404" t="s">
        <v>336</v>
      </c>
    </row>
    <row r="34" spans="1:96" s="404" customFormat="1" x14ac:dyDescent="0.3">
      <c r="A34" s="404">
        <v>47</v>
      </c>
      <c r="B34" s="405">
        <v>47</v>
      </c>
      <c r="C34" s="404">
        <v>47</v>
      </c>
      <c r="D34" s="404" t="s">
        <v>629</v>
      </c>
      <c r="E34" s="404" t="s">
        <v>337</v>
      </c>
      <c r="F34" s="404">
        <v>0</v>
      </c>
      <c r="G34" s="404">
        <v>0</v>
      </c>
      <c r="H34" s="404">
        <v>0</v>
      </c>
      <c r="I34" s="404">
        <v>0</v>
      </c>
      <c r="J34" s="404">
        <v>3774008</v>
      </c>
      <c r="K34" s="404">
        <v>0</v>
      </c>
      <c r="L34" s="404">
        <v>40601172</v>
      </c>
      <c r="M34" s="404">
        <v>0</v>
      </c>
      <c r="N34" s="404">
        <v>0</v>
      </c>
      <c r="O34" s="404">
        <v>0</v>
      </c>
      <c r="P34" s="404">
        <v>0</v>
      </c>
      <c r="Q34" s="404">
        <v>0</v>
      </c>
      <c r="R34" s="404">
        <v>0</v>
      </c>
      <c r="S34" s="404">
        <v>0</v>
      </c>
      <c r="T34" s="404">
        <v>0</v>
      </c>
      <c r="U34" s="404">
        <v>0</v>
      </c>
      <c r="V34" s="404">
        <v>0</v>
      </c>
      <c r="W34" s="404">
        <v>0</v>
      </c>
      <c r="X34" s="404">
        <v>0</v>
      </c>
      <c r="Y34" s="404">
        <v>0</v>
      </c>
      <c r="Z34" s="404">
        <v>0</v>
      </c>
      <c r="AA34" s="404">
        <v>0</v>
      </c>
      <c r="AB34" s="404">
        <v>15813136</v>
      </c>
      <c r="AC34" s="404">
        <v>0</v>
      </c>
      <c r="AD34" s="404">
        <v>0</v>
      </c>
      <c r="AE34" s="404">
        <v>0</v>
      </c>
      <c r="AF34" s="404">
        <v>0</v>
      </c>
      <c r="AG34" s="404">
        <v>0</v>
      </c>
      <c r="AH34" s="404">
        <v>0</v>
      </c>
      <c r="AI34" s="404">
        <v>0</v>
      </c>
      <c r="AJ34" s="404">
        <v>0</v>
      </c>
      <c r="AK34" s="404">
        <v>0</v>
      </c>
      <c r="AL34" s="404">
        <v>0</v>
      </c>
      <c r="AM34" s="404">
        <v>0</v>
      </c>
      <c r="AN34" s="404">
        <v>0</v>
      </c>
      <c r="AO34" s="404">
        <v>0</v>
      </c>
      <c r="AP34" s="404">
        <v>0</v>
      </c>
      <c r="AQ34" s="404">
        <v>0</v>
      </c>
      <c r="AR34" s="404">
        <v>0</v>
      </c>
      <c r="AS34" s="404">
        <v>0</v>
      </c>
      <c r="AT34" s="404">
        <v>0</v>
      </c>
      <c r="AU34" s="404">
        <v>0</v>
      </c>
      <c r="AV34" s="404">
        <v>0</v>
      </c>
      <c r="AW34" s="404">
        <v>0</v>
      </c>
      <c r="AX34" s="404">
        <v>0</v>
      </c>
      <c r="AY34" s="404">
        <v>0</v>
      </c>
      <c r="AZ34" s="404">
        <v>8750516</v>
      </c>
      <c r="BA34" s="404">
        <v>0</v>
      </c>
      <c r="BB34" s="404">
        <v>0</v>
      </c>
      <c r="BC34" s="404">
        <v>0</v>
      </c>
      <c r="BD34" s="404">
        <v>0</v>
      </c>
      <c r="BE34" s="404">
        <v>0</v>
      </c>
      <c r="BF34" s="404">
        <v>326636</v>
      </c>
      <c r="BG34" s="404">
        <v>0</v>
      </c>
      <c r="BH34" s="404">
        <v>0</v>
      </c>
      <c r="BI34" s="404">
        <v>19727957</v>
      </c>
      <c r="BJ34" s="404">
        <v>0</v>
      </c>
      <c r="BK34" s="404">
        <v>0</v>
      </c>
      <c r="BL34" s="404">
        <v>0</v>
      </c>
      <c r="BM34" s="404">
        <v>2756706</v>
      </c>
      <c r="BN34" s="404">
        <v>0</v>
      </c>
      <c r="BO34" s="404">
        <v>0</v>
      </c>
      <c r="BP34" s="404">
        <v>0</v>
      </c>
      <c r="BQ34" s="404">
        <v>0</v>
      </c>
      <c r="BR34" s="404">
        <v>0</v>
      </c>
      <c r="BS34" s="404">
        <v>0</v>
      </c>
      <c r="BT34" s="404">
        <v>0</v>
      </c>
      <c r="BU34" s="404">
        <v>0</v>
      </c>
      <c r="BV34" s="404">
        <v>0</v>
      </c>
      <c r="BW34" s="404">
        <v>0</v>
      </c>
      <c r="BX34" s="404">
        <v>0</v>
      </c>
      <c r="BY34" s="404">
        <v>0</v>
      </c>
      <c r="BZ34" s="404">
        <v>0</v>
      </c>
      <c r="CA34" s="404">
        <v>0</v>
      </c>
      <c r="CB34" s="404">
        <v>0</v>
      </c>
      <c r="CC34" s="404">
        <v>0</v>
      </c>
      <c r="CD34" s="404">
        <v>52723719</v>
      </c>
      <c r="CE34" s="404">
        <v>0</v>
      </c>
      <c r="CF34" s="404">
        <v>4262956</v>
      </c>
      <c r="CG34" s="404">
        <v>0</v>
      </c>
      <c r="CH34" s="404">
        <v>0</v>
      </c>
      <c r="CI34" s="404">
        <v>0</v>
      </c>
      <c r="CJ34" s="404">
        <v>7882372</v>
      </c>
      <c r="CK34" s="404">
        <v>0</v>
      </c>
      <c r="CL34" s="404">
        <v>0</v>
      </c>
      <c r="CM34" s="404">
        <v>0</v>
      </c>
      <c r="CN34" s="404">
        <v>0</v>
      </c>
      <c r="CO34" s="404">
        <v>0</v>
      </c>
      <c r="CP34" s="404">
        <v>0</v>
      </c>
      <c r="CQ34" s="404">
        <v>0</v>
      </c>
      <c r="CR34" s="404">
        <v>0</v>
      </c>
    </row>
    <row r="35" spans="1:96" s="404" customFormat="1" x14ac:dyDescent="0.3">
      <c r="A35" s="404">
        <v>48</v>
      </c>
      <c r="B35" s="405">
        <v>48</v>
      </c>
      <c r="C35" s="404">
        <v>48</v>
      </c>
      <c r="D35" s="404" t="s">
        <v>123</v>
      </c>
      <c r="E35" s="404" t="s">
        <v>338</v>
      </c>
      <c r="F35" s="404">
        <v>0</v>
      </c>
      <c r="G35" s="404">
        <v>0</v>
      </c>
      <c r="H35" s="404">
        <v>0</v>
      </c>
      <c r="I35" s="404">
        <v>0</v>
      </c>
      <c r="J35" s="404">
        <v>95703</v>
      </c>
      <c r="K35" s="404">
        <v>0</v>
      </c>
      <c r="L35" s="404">
        <v>4161306</v>
      </c>
      <c r="M35" s="404">
        <v>0</v>
      </c>
      <c r="N35" s="404">
        <v>0</v>
      </c>
      <c r="O35" s="404">
        <v>0</v>
      </c>
      <c r="P35" s="404">
        <v>0</v>
      </c>
      <c r="Q35" s="404">
        <v>0</v>
      </c>
      <c r="R35" s="404">
        <v>0</v>
      </c>
      <c r="S35" s="404">
        <v>0</v>
      </c>
      <c r="T35" s="404">
        <v>0</v>
      </c>
      <c r="U35" s="404">
        <v>0</v>
      </c>
      <c r="V35" s="404">
        <v>0</v>
      </c>
      <c r="W35" s="404">
        <v>0</v>
      </c>
      <c r="X35" s="404">
        <v>0</v>
      </c>
      <c r="Y35" s="404">
        <v>0</v>
      </c>
      <c r="Z35" s="404">
        <v>0</v>
      </c>
      <c r="AA35" s="404">
        <v>0</v>
      </c>
      <c r="AB35" s="404">
        <v>1463776</v>
      </c>
      <c r="AC35" s="404">
        <v>0</v>
      </c>
      <c r="AD35" s="404">
        <v>0</v>
      </c>
      <c r="AE35" s="404">
        <v>0</v>
      </c>
      <c r="AF35" s="404">
        <v>0</v>
      </c>
      <c r="AG35" s="404">
        <v>0</v>
      </c>
      <c r="AH35" s="404">
        <v>0</v>
      </c>
      <c r="AI35" s="404">
        <v>0</v>
      </c>
      <c r="AJ35" s="404">
        <v>0</v>
      </c>
      <c r="AK35" s="404">
        <v>0</v>
      </c>
      <c r="AL35" s="404">
        <v>0</v>
      </c>
      <c r="AM35" s="404">
        <v>0</v>
      </c>
      <c r="AN35" s="404">
        <v>0</v>
      </c>
      <c r="AO35" s="404">
        <v>0</v>
      </c>
      <c r="AP35" s="404">
        <v>0</v>
      </c>
      <c r="AQ35" s="404">
        <v>0</v>
      </c>
      <c r="AR35" s="404">
        <v>0</v>
      </c>
      <c r="AS35" s="404">
        <v>0</v>
      </c>
      <c r="AT35" s="404">
        <v>0</v>
      </c>
      <c r="AU35" s="404">
        <v>0</v>
      </c>
      <c r="AV35" s="404">
        <v>0</v>
      </c>
      <c r="AW35" s="404">
        <v>0</v>
      </c>
      <c r="AX35" s="404">
        <v>0</v>
      </c>
      <c r="AY35" s="404">
        <v>0</v>
      </c>
      <c r="AZ35" s="404">
        <v>2639761</v>
      </c>
      <c r="BA35" s="404">
        <v>0</v>
      </c>
      <c r="BB35" s="404">
        <v>0</v>
      </c>
      <c r="BC35" s="404">
        <v>0</v>
      </c>
      <c r="BD35" s="404">
        <v>0</v>
      </c>
      <c r="BE35" s="404">
        <v>0</v>
      </c>
      <c r="BF35" s="404">
        <v>12638</v>
      </c>
      <c r="BG35" s="404">
        <v>0</v>
      </c>
      <c r="BH35" s="404">
        <v>0</v>
      </c>
      <c r="BI35" s="404">
        <v>2305645</v>
      </c>
      <c r="BJ35" s="404">
        <v>0</v>
      </c>
      <c r="BK35" s="404">
        <v>0</v>
      </c>
      <c r="BL35" s="404">
        <v>0</v>
      </c>
      <c r="BM35" s="404">
        <v>843635</v>
      </c>
      <c r="BN35" s="404">
        <v>0</v>
      </c>
      <c r="BO35" s="404">
        <v>0</v>
      </c>
      <c r="BP35" s="404">
        <v>0</v>
      </c>
      <c r="BQ35" s="404">
        <v>0</v>
      </c>
      <c r="BR35" s="404">
        <v>0</v>
      </c>
      <c r="BS35" s="404">
        <v>0</v>
      </c>
      <c r="BT35" s="404">
        <v>0</v>
      </c>
      <c r="BU35" s="404">
        <v>0</v>
      </c>
      <c r="BV35" s="404">
        <v>0</v>
      </c>
      <c r="BW35" s="404">
        <v>0</v>
      </c>
      <c r="BX35" s="404">
        <v>0</v>
      </c>
      <c r="BY35" s="404">
        <v>0</v>
      </c>
      <c r="BZ35" s="404">
        <v>0</v>
      </c>
      <c r="CA35" s="404">
        <v>0</v>
      </c>
      <c r="CB35" s="404">
        <v>0</v>
      </c>
      <c r="CC35" s="404">
        <v>0</v>
      </c>
      <c r="CD35" s="404">
        <v>9713176</v>
      </c>
      <c r="CE35" s="404">
        <v>0</v>
      </c>
      <c r="CF35" s="404">
        <v>678158</v>
      </c>
      <c r="CG35" s="404">
        <v>0</v>
      </c>
      <c r="CH35" s="404">
        <v>0</v>
      </c>
      <c r="CI35" s="404">
        <v>0</v>
      </c>
      <c r="CJ35" s="404">
        <v>473622</v>
      </c>
      <c r="CK35" s="404">
        <v>0</v>
      </c>
      <c r="CL35" s="404">
        <v>0</v>
      </c>
      <c r="CM35" s="404">
        <v>0</v>
      </c>
      <c r="CN35" s="404">
        <v>0</v>
      </c>
      <c r="CO35" s="404">
        <v>0</v>
      </c>
      <c r="CP35" s="404">
        <v>0</v>
      </c>
      <c r="CQ35" s="404">
        <v>0</v>
      </c>
      <c r="CR35" s="404">
        <v>0</v>
      </c>
    </row>
    <row r="36" spans="1:96" s="404" customFormat="1" x14ac:dyDescent="0.3">
      <c r="A36" s="404">
        <v>49</v>
      </c>
      <c r="B36" s="405">
        <v>49</v>
      </c>
      <c r="C36" s="404">
        <v>49</v>
      </c>
      <c r="D36" s="404" t="s">
        <v>228</v>
      </c>
      <c r="E36" s="404" t="s">
        <v>339</v>
      </c>
      <c r="F36" s="404">
        <v>0</v>
      </c>
      <c r="G36" s="404">
        <v>0</v>
      </c>
      <c r="H36" s="404">
        <v>127501</v>
      </c>
      <c r="I36" s="404">
        <v>463920</v>
      </c>
      <c r="J36" s="404">
        <v>324170</v>
      </c>
      <c r="K36" s="404">
        <v>42776</v>
      </c>
      <c r="L36" s="404">
        <v>3823797</v>
      </c>
      <c r="M36" s="404">
        <v>178267</v>
      </c>
      <c r="N36" s="404">
        <v>0</v>
      </c>
      <c r="O36" s="404">
        <v>116237</v>
      </c>
      <c r="P36" s="404">
        <v>223669</v>
      </c>
      <c r="Q36" s="404">
        <v>0</v>
      </c>
      <c r="R36" s="404">
        <v>86761</v>
      </c>
      <c r="S36" s="404">
        <v>0</v>
      </c>
      <c r="T36" s="404">
        <v>0</v>
      </c>
      <c r="U36" s="404">
        <v>0</v>
      </c>
      <c r="V36" s="404">
        <v>1040689</v>
      </c>
      <c r="W36" s="404">
        <v>0</v>
      </c>
      <c r="X36" s="404">
        <v>109142</v>
      </c>
      <c r="Y36" s="404">
        <v>0</v>
      </c>
      <c r="Z36" s="404">
        <v>329544</v>
      </c>
      <c r="AA36" s="404">
        <v>0</v>
      </c>
      <c r="AB36" s="404">
        <v>1161168</v>
      </c>
      <c r="AC36" s="404">
        <v>619595</v>
      </c>
      <c r="AD36" s="404">
        <v>39474</v>
      </c>
      <c r="AE36" s="404">
        <v>95040</v>
      </c>
      <c r="AF36" s="404">
        <v>3502908</v>
      </c>
      <c r="AG36" s="404">
        <v>0</v>
      </c>
      <c r="AH36" s="404">
        <v>145501</v>
      </c>
      <c r="AI36" s="404">
        <v>0</v>
      </c>
      <c r="AJ36" s="404">
        <v>123741</v>
      </c>
      <c r="AK36" s="404">
        <v>793788</v>
      </c>
      <c r="AL36" s="404">
        <v>507818</v>
      </c>
      <c r="AM36" s="404">
        <v>258238</v>
      </c>
      <c r="AN36" s="404">
        <v>253132</v>
      </c>
      <c r="AO36" s="404">
        <v>12946</v>
      </c>
      <c r="AP36" s="404">
        <v>0</v>
      </c>
      <c r="AQ36" s="404">
        <v>960430</v>
      </c>
      <c r="AR36" s="404">
        <v>0</v>
      </c>
      <c r="AS36" s="404">
        <v>0</v>
      </c>
      <c r="AT36" s="404">
        <v>0</v>
      </c>
      <c r="AU36" s="404">
        <v>0</v>
      </c>
      <c r="AV36" s="404">
        <v>0</v>
      </c>
      <c r="AW36" s="404">
        <v>26793</v>
      </c>
      <c r="AX36" s="404">
        <v>354912</v>
      </c>
      <c r="AY36" s="404">
        <v>99408</v>
      </c>
      <c r="AZ36" s="404">
        <v>0</v>
      </c>
      <c r="BA36" s="404">
        <v>0</v>
      </c>
      <c r="BB36" s="404">
        <v>896484</v>
      </c>
      <c r="BC36" s="404">
        <v>0</v>
      </c>
      <c r="BD36" s="404">
        <v>127785</v>
      </c>
      <c r="BE36" s="404">
        <v>116535</v>
      </c>
      <c r="BF36" s="404">
        <v>64662</v>
      </c>
      <c r="BG36" s="404">
        <v>350959</v>
      </c>
      <c r="BH36" s="404">
        <v>637828</v>
      </c>
      <c r="BI36" s="404">
        <v>1684505</v>
      </c>
      <c r="BJ36" s="404">
        <v>0</v>
      </c>
      <c r="BK36" s="404">
        <v>0</v>
      </c>
      <c r="BL36" s="404">
        <v>0</v>
      </c>
      <c r="BM36" s="404">
        <v>1089911</v>
      </c>
      <c r="BN36" s="404">
        <v>394328</v>
      </c>
      <c r="BO36" s="404">
        <v>0</v>
      </c>
      <c r="BP36" s="404">
        <v>0</v>
      </c>
      <c r="BQ36" s="404">
        <v>280842</v>
      </c>
      <c r="BR36" s="404">
        <v>0</v>
      </c>
      <c r="BS36" s="404">
        <v>0</v>
      </c>
      <c r="BT36" s="404">
        <v>0</v>
      </c>
      <c r="BU36" s="404">
        <v>301206</v>
      </c>
      <c r="BV36" s="404">
        <v>0</v>
      </c>
      <c r="BW36" s="404">
        <v>0</v>
      </c>
      <c r="BX36" s="404">
        <v>128849</v>
      </c>
      <c r="BY36" s="404">
        <v>490294</v>
      </c>
      <c r="BZ36" s="404">
        <v>17217</v>
      </c>
      <c r="CA36" s="404">
        <v>0</v>
      </c>
      <c r="CB36" s="404">
        <v>916909</v>
      </c>
      <c r="CC36" s="404">
        <v>0</v>
      </c>
      <c r="CD36" s="404">
        <v>4455781</v>
      </c>
      <c r="CE36" s="404">
        <v>152060</v>
      </c>
      <c r="CF36" s="404">
        <v>233998</v>
      </c>
      <c r="CG36" s="404">
        <v>154072</v>
      </c>
      <c r="CH36" s="404">
        <v>260543</v>
      </c>
      <c r="CI36" s="404">
        <v>29571329</v>
      </c>
      <c r="CJ36" s="404">
        <v>501875</v>
      </c>
      <c r="CK36" s="404">
        <v>127651</v>
      </c>
      <c r="CL36" s="404">
        <v>0</v>
      </c>
      <c r="CM36" s="404">
        <v>92294</v>
      </c>
      <c r="CN36" s="404">
        <v>248090</v>
      </c>
      <c r="CO36" s="404">
        <v>635557</v>
      </c>
      <c r="CP36" s="404">
        <v>306620</v>
      </c>
      <c r="CQ36" s="404">
        <v>0</v>
      </c>
      <c r="CR36" s="404">
        <v>0</v>
      </c>
    </row>
    <row r="37" spans="1:96" s="404" customFormat="1" x14ac:dyDescent="0.3">
      <c r="A37" s="404">
        <v>50</v>
      </c>
      <c r="B37" s="405">
        <v>50</v>
      </c>
      <c r="C37" s="404">
        <v>50</v>
      </c>
      <c r="D37" s="404" t="s">
        <v>100</v>
      </c>
      <c r="E37" s="404" t="s">
        <v>340</v>
      </c>
      <c r="F37" s="404">
        <v>0</v>
      </c>
      <c r="G37" s="404">
        <v>0</v>
      </c>
      <c r="H37" s="404">
        <v>22352</v>
      </c>
      <c r="I37" s="404">
        <v>1776076</v>
      </c>
      <c r="J37" s="404">
        <v>68418</v>
      </c>
      <c r="K37" s="404">
        <v>-40007</v>
      </c>
      <c r="L37" s="404">
        <v>-715771</v>
      </c>
      <c r="M37" s="404">
        <v>-161368</v>
      </c>
      <c r="N37" s="404">
        <v>0</v>
      </c>
      <c r="O37" s="404">
        <v>-67940</v>
      </c>
      <c r="P37" s="404">
        <v>719024</v>
      </c>
      <c r="Q37" s="404">
        <v>0</v>
      </c>
      <c r="R37" s="404">
        <v>-48771</v>
      </c>
      <c r="S37" s="404">
        <v>0</v>
      </c>
      <c r="T37" s="404">
        <v>0</v>
      </c>
      <c r="U37" s="404">
        <v>0</v>
      </c>
      <c r="V37" s="404">
        <v>2627826</v>
      </c>
      <c r="W37" s="404">
        <v>0</v>
      </c>
      <c r="X37" s="404">
        <v>296791</v>
      </c>
      <c r="Y37" s="404">
        <v>0</v>
      </c>
      <c r="Z37" s="404">
        <v>538934</v>
      </c>
      <c r="AA37" s="404">
        <v>0</v>
      </c>
      <c r="AB37" s="404">
        <v>-565347</v>
      </c>
      <c r="AC37" s="404">
        <v>-231534</v>
      </c>
      <c r="AD37" s="404">
        <v>-27902</v>
      </c>
      <c r="AE37" s="404">
        <v>44864</v>
      </c>
      <c r="AF37" s="404">
        <v>910337</v>
      </c>
      <c r="AG37" s="404">
        <v>0</v>
      </c>
      <c r="AH37" s="404">
        <v>38882</v>
      </c>
      <c r="AI37" s="404">
        <v>0</v>
      </c>
      <c r="AJ37" s="404">
        <v>-260977</v>
      </c>
      <c r="AK37" s="404">
        <v>-530188</v>
      </c>
      <c r="AL37" s="404">
        <v>810361</v>
      </c>
      <c r="AM37" s="404">
        <v>309585</v>
      </c>
      <c r="AN37" s="404">
        <v>-289570</v>
      </c>
      <c r="AO37" s="404">
        <v>-12344</v>
      </c>
      <c r="AP37" s="404">
        <v>0</v>
      </c>
      <c r="AQ37" s="404">
        <v>-294320</v>
      </c>
      <c r="AR37" s="404">
        <v>0</v>
      </c>
      <c r="AS37" s="404">
        <v>0</v>
      </c>
      <c r="AT37" s="404">
        <v>0</v>
      </c>
      <c r="AU37" s="404">
        <v>0</v>
      </c>
      <c r="AV37" s="404">
        <v>0</v>
      </c>
      <c r="AW37" s="404">
        <v>-74861</v>
      </c>
      <c r="AX37" s="404">
        <v>154489</v>
      </c>
      <c r="AY37" s="404">
        <v>-52817</v>
      </c>
      <c r="AZ37" s="404">
        <v>0</v>
      </c>
      <c r="BA37" s="404">
        <v>0</v>
      </c>
      <c r="BB37" s="404">
        <v>-538297</v>
      </c>
      <c r="BC37" s="404">
        <v>0</v>
      </c>
      <c r="BD37" s="404">
        <v>153592</v>
      </c>
      <c r="BE37" s="404">
        <v>63643</v>
      </c>
      <c r="BF37" s="404">
        <v>-42525</v>
      </c>
      <c r="BG37" s="404">
        <v>1876571</v>
      </c>
      <c r="BH37" s="404">
        <v>238128</v>
      </c>
      <c r="BI37" s="404">
        <v>-899499</v>
      </c>
      <c r="BJ37" s="404">
        <v>0</v>
      </c>
      <c r="BK37" s="404">
        <v>0</v>
      </c>
      <c r="BL37" s="404">
        <v>0</v>
      </c>
      <c r="BM37" s="404">
        <v>-171763</v>
      </c>
      <c r="BN37" s="404">
        <v>337177</v>
      </c>
      <c r="BO37" s="404">
        <v>0</v>
      </c>
      <c r="BP37" s="404">
        <v>0</v>
      </c>
      <c r="BQ37" s="404">
        <v>13666</v>
      </c>
      <c r="BR37" s="404">
        <v>0</v>
      </c>
      <c r="BS37" s="404">
        <v>0</v>
      </c>
      <c r="BT37" s="404">
        <v>0</v>
      </c>
      <c r="BU37" s="404">
        <v>42484</v>
      </c>
      <c r="BV37" s="404">
        <v>0</v>
      </c>
      <c r="BW37" s="404">
        <v>0</v>
      </c>
      <c r="BX37" s="404">
        <v>401079</v>
      </c>
      <c r="BY37" s="404">
        <v>190455</v>
      </c>
      <c r="BZ37" s="404">
        <v>-9602</v>
      </c>
      <c r="CA37" s="404">
        <v>0</v>
      </c>
      <c r="CB37" s="404">
        <v>-214109</v>
      </c>
      <c r="CC37" s="404">
        <v>0</v>
      </c>
      <c r="CD37" s="404">
        <v>5469817</v>
      </c>
      <c r="CE37" s="404">
        <v>857382</v>
      </c>
      <c r="CF37" s="404">
        <v>62259</v>
      </c>
      <c r="CG37" s="404">
        <v>-138535</v>
      </c>
      <c r="CH37" s="404">
        <v>89039</v>
      </c>
      <c r="CI37" s="404">
        <v>37088814</v>
      </c>
      <c r="CJ37" s="404">
        <v>120000</v>
      </c>
      <c r="CK37" s="404">
        <v>-43786</v>
      </c>
      <c r="CL37" s="404">
        <v>0</v>
      </c>
      <c r="CM37" s="404">
        <v>27400</v>
      </c>
      <c r="CN37" s="404">
        <v>-211854</v>
      </c>
      <c r="CO37" s="404">
        <v>-298559</v>
      </c>
      <c r="CP37" s="404">
        <v>1720876</v>
      </c>
      <c r="CQ37" s="404">
        <v>0</v>
      </c>
      <c r="CR37" s="404">
        <v>0</v>
      </c>
    </row>
    <row r="38" spans="1:96" s="404" customFormat="1" x14ac:dyDescent="0.3">
      <c r="A38" s="404">
        <v>51</v>
      </c>
      <c r="B38" s="405">
        <v>51</v>
      </c>
      <c r="C38" s="404">
        <v>51</v>
      </c>
      <c r="D38" s="404" t="s">
        <v>246</v>
      </c>
      <c r="E38" s="404" t="s">
        <v>341</v>
      </c>
      <c r="F38" s="404">
        <v>0</v>
      </c>
      <c r="G38" s="404">
        <v>0</v>
      </c>
      <c r="H38" s="404">
        <v>113784</v>
      </c>
      <c r="I38" s="404">
        <v>299722</v>
      </c>
      <c r="J38" s="404">
        <v>337041</v>
      </c>
      <c r="K38" s="404">
        <v>-21958</v>
      </c>
      <c r="L38" s="404">
        <v>4429270</v>
      </c>
      <c r="M38" s="404">
        <v>201548</v>
      </c>
      <c r="N38" s="404">
        <v>0</v>
      </c>
      <c r="O38" s="404">
        <v>20273</v>
      </c>
      <c r="P38" s="404">
        <v>107196</v>
      </c>
      <c r="Q38" s="404">
        <v>0</v>
      </c>
      <c r="R38" s="404">
        <v>54051</v>
      </c>
      <c r="S38" s="404">
        <v>0</v>
      </c>
      <c r="T38" s="404">
        <v>0</v>
      </c>
      <c r="U38" s="404">
        <v>0</v>
      </c>
      <c r="V38" s="404">
        <v>3809036</v>
      </c>
      <c r="W38" s="404">
        <v>0</v>
      </c>
      <c r="X38" s="404">
        <v>276230</v>
      </c>
      <c r="Y38" s="404">
        <v>0</v>
      </c>
      <c r="Z38" s="404">
        <v>120267</v>
      </c>
      <c r="AA38" s="404">
        <v>0</v>
      </c>
      <c r="AB38" s="404">
        <v>850972</v>
      </c>
      <c r="AC38" s="404">
        <v>345970</v>
      </c>
      <c r="AD38" s="404">
        <v>-7935</v>
      </c>
      <c r="AE38" s="404">
        <v>88021</v>
      </c>
      <c r="AF38" s="404">
        <v>5992900</v>
      </c>
      <c r="AG38" s="404">
        <v>0</v>
      </c>
      <c r="AH38" s="404">
        <v>343804</v>
      </c>
      <c r="AI38" s="404">
        <v>0</v>
      </c>
      <c r="AJ38" s="404">
        <v>42334</v>
      </c>
      <c r="AK38" s="404">
        <v>-665794</v>
      </c>
      <c r="AL38" s="404">
        <v>1201803</v>
      </c>
      <c r="AM38" s="404">
        <v>138457</v>
      </c>
      <c r="AN38" s="404">
        <v>13413</v>
      </c>
      <c r="AO38" s="404">
        <v>6833</v>
      </c>
      <c r="AP38" s="404">
        <v>0</v>
      </c>
      <c r="AQ38" s="404">
        <v>846360</v>
      </c>
      <c r="AR38" s="404">
        <v>0</v>
      </c>
      <c r="AS38" s="404">
        <v>0</v>
      </c>
      <c r="AT38" s="404">
        <v>0</v>
      </c>
      <c r="AU38" s="404">
        <v>0</v>
      </c>
      <c r="AV38" s="404">
        <v>0</v>
      </c>
      <c r="AW38" s="404">
        <v>-45449</v>
      </c>
      <c r="AX38" s="404">
        <v>397643</v>
      </c>
      <c r="AY38" s="404">
        <v>57136</v>
      </c>
      <c r="AZ38" s="404">
        <v>0</v>
      </c>
      <c r="BA38" s="404">
        <v>0</v>
      </c>
      <c r="BB38" s="404">
        <v>834931</v>
      </c>
      <c r="BC38" s="404">
        <v>0</v>
      </c>
      <c r="BD38" s="404">
        <v>181592</v>
      </c>
      <c r="BE38" s="404">
        <v>181885</v>
      </c>
      <c r="BF38" s="404">
        <v>8599</v>
      </c>
      <c r="BG38" s="404">
        <v>-257091</v>
      </c>
      <c r="BH38" s="404">
        <v>533186</v>
      </c>
      <c r="BI38" s="404">
        <v>1472804</v>
      </c>
      <c r="BJ38" s="404">
        <v>0</v>
      </c>
      <c r="BK38" s="404">
        <v>0</v>
      </c>
      <c r="BL38" s="404">
        <v>0</v>
      </c>
      <c r="BM38" s="404">
        <v>1048979</v>
      </c>
      <c r="BN38" s="404">
        <v>1220668</v>
      </c>
      <c r="BO38" s="404">
        <v>0</v>
      </c>
      <c r="BP38" s="404">
        <v>0</v>
      </c>
      <c r="BQ38" s="404">
        <v>316149</v>
      </c>
      <c r="BR38" s="404">
        <v>0</v>
      </c>
      <c r="BS38" s="404">
        <v>0</v>
      </c>
      <c r="BT38" s="404">
        <v>0</v>
      </c>
      <c r="BU38" s="404">
        <v>166399</v>
      </c>
      <c r="BV38" s="404">
        <v>0</v>
      </c>
      <c r="BW38" s="404">
        <v>0</v>
      </c>
      <c r="BX38" s="404">
        <v>578127</v>
      </c>
      <c r="BY38" s="404">
        <v>442780</v>
      </c>
      <c r="BZ38" s="404">
        <v>-1176</v>
      </c>
      <c r="CA38" s="404">
        <v>0</v>
      </c>
      <c r="CB38" s="404">
        <v>852363</v>
      </c>
      <c r="CC38" s="404">
        <v>0</v>
      </c>
      <c r="CD38" s="404">
        <v>10398788</v>
      </c>
      <c r="CE38" s="404">
        <v>109429</v>
      </c>
      <c r="CF38" s="404">
        <v>44010</v>
      </c>
      <c r="CG38" s="404">
        <v>29468</v>
      </c>
      <c r="CH38" s="404">
        <v>252489</v>
      </c>
      <c r="CI38" s="404">
        <v>67555433</v>
      </c>
      <c r="CJ38" s="404">
        <v>774818</v>
      </c>
      <c r="CK38" s="404">
        <v>90352</v>
      </c>
      <c r="CL38" s="404">
        <v>0</v>
      </c>
      <c r="CM38" s="404">
        <v>0</v>
      </c>
      <c r="CN38" s="404">
        <v>854998</v>
      </c>
      <c r="CO38" s="404">
        <v>488898</v>
      </c>
      <c r="CP38" s="404">
        <v>475032</v>
      </c>
      <c r="CQ38" s="404">
        <v>0</v>
      </c>
      <c r="CR38" s="404">
        <v>0</v>
      </c>
    </row>
    <row r="39" spans="1:96" s="404" customFormat="1" x14ac:dyDescent="0.3">
      <c r="A39" s="404">
        <v>52</v>
      </c>
      <c r="B39" s="405">
        <v>52</v>
      </c>
      <c r="C39" s="404">
        <v>52</v>
      </c>
      <c r="D39" s="404" t="s">
        <v>239</v>
      </c>
      <c r="E39" s="404" t="s">
        <v>342</v>
      </c>
      <c r="F39" s="404">
        <v>0</v>
      </c>
      <c r="G39" s="404">
        <v>0</v>
      </c>
      <c r="H39" s="404">
        <v>0</v>
      </c>
      <c r="I39" s="404">
        <v>0</v>
      </c>
      <c r="J39" s="404">
        <v>69902</v>
      </c>
      <c r="K39" s="404">
        <v>0</v>
      </c>
      <c r="L39" s="404">
        <v>1453171</v>
      </c>
      <c r="M39" s="404">
        <v>0</v>
      </c>
      <c r="N39" s="404">
        <v>0</v>
      </c>
      <c r="O39" s="404">
        <v>0</v>
      </c>
      <c r="P39" s="404">
        <v>0</v>
      </c>
      <c r="Q39" s="404">
        <v>0</v>
      </c>
      <c r="R39" s="404">
        <v>0</v>
      </c>
      <c r="S39" s="404">
        <v>0</v>
      </c>
      <c r="T39" s="404">
        <v>0</v>
      </c>
      <c r="U39" s="404">
        <v>0</v>
      </c>
      <c r="V39" s="404">
        <v>0</v>
      </c>
      <c r="W39" s="404">
        <v>0</v>
      </c>
      <c r="X39" s="404">
        <v>0</v>
      </c>
      <c r="Y39" s="404">
        <v>0</v>
      </c>
      <c r="Z39" s="404">
        <v>0</v>
      </c>
      <c r="AA39" s="404">
        <v>0</v>
      </c>
      <c r="AB39" s="404">
        <v>1621577</v>
      </c>
      <c r="AC39" s="404">
        <v>0</v>
      </c>
      <c r="AD39" s="404">
        <v>0</v>
      </c>
      <c r="AE39" s="404">
        <v>0</v>
      </c>
      <c r="AF39" s="404">
        <v>0</v>
      </c>
      <c r="AG39" s="404">
        <v>0</v>
      </c>
      <c r="AH39" s="404">
        <v>0</v>
      </c>
      <c r="AI39" s="404">
        <v>0</v>
      </c>
      <c r="AJ39" s="404">
        <v>0</v>
      </c>
      <c r="AK39" s="404">
        <v>0</v>
      </c>
      <c r="AL39" s="404">
        <v>0</v>
      </c>
      <c r="AM39" s="404">
        <v>0</v>
      </c>
      <c r="AN39" s="404">
        <v>0</v>
      </c>
      <c r="AO39" s="404">
        <v>0</v>
      </c>
      <c r="AP39" s="404">
        <v>0</v>
      </c>
      <c r="AQ39" s="404">
        <v>0</v>
      </c>
      <c r="AR39" s="404">
        <v>0</v>
      </c>
      <c r="AS39" s="404">
        <v>0</v>
      </c>
      <c r="AT39" s="404">
        <v>0</v>
      </c>
      <c r="AU39" s="404">
        <v>0</v>
      </c>
      <c r="AV39" s="404">
        <v>0</v>
      </c>
      <c r="AW39" s="404">
        <v>0</v>
      </c>
      <c r="AX39" s="404">
        <v>0</v>
      </c>
      <c r="AY39" s="404">
        <v>0</v>
      </c>
      <c r="AZ39" s="404">
        <v>1456050</v>
      </c>
      <c r="BA39" s="404">
        <v>0</v>
      </c>
      <c r="BB39" s="404">
        <v>0</v>
      </c>
      <c r="BC39" s="404">
        <v>0</v>
      </c>
      <c r="BD39" s="404">
        <v>0</v>
      </c>
      <c r="BE39" s="404">
        <v>0</v>
      </c>
      <c r="BF39" s="404">
        <v>4848</v>
      </c>
      <c r="BG39" s="404">
        <v>0</v>
      </c>
      <c r="BH39" s="404">
        <v>0</v>
      </c>
      <c r="BI39" s="404">
        <v>1085484</v>
      </c>
      <c r="BJ39" s="404">
        <v>0</v>
      </c>
      <c r="BK39" s="404">
        <v>0</v>
      </c>
      <c r="BL39" s="404">
        <v>0</v>
      </c>
      <c r="BM39" s="404">
        <v>272639</v>
      </c>
      <c r="BN39" s="404">
        <v>0</v>
      </c>
      <c r="BO39" s="404">
        <v>0</v>
      </c>
      <c r="BP39" s="404">
        <v>0</v>
      </c>
      <c r="BQ39" s="404">
        <v>0</v>
      </c>
      <c r="BR39" s="404">
        <v>0</v>
      </c>
      <c r="BS39" s="404">
        <v>0</v>
      </c>
      <c r="BT39" s="404">
        <v>0</v>
      </c>
      <c r="BU39" s="404">
        <v>0</v>
      </c>
      <c r="BV39" s="404">
        <v>0</v>
      </c>
      <c r="BW39" s="404">
        <v>0</v>
      </c>
      <c r="BX39" s="404">
        <v>0</v>
      </c>
      <c r="BY39" s="404">
        <v>0</v>
      </c>
      <c r="BZ39" s="404">
        <v>0</v>
      </c>
      <c r="CA39" s="404">
        <v>0</v>
      </c>
      <c r="CB39" s="404">
        <v>0</v>
      </c>
      <c r="CC39" s="404">
        <v>0</v>
      </c>
      <c r="CD39" s="404">
        <v>6804215</v>
      </c>
      <c r="CE39" s="404">
        <v>0</v>
      </c>
      <c r="CF39" s="404">
        <v>193104</v>
      </c>
      <c r="CG39" s="404">
        <v>0</v>
      </c>
      <c r="CH39" s="404">
        <v>0</v>
      </c>
      <c r="CI39" s="404">
        <v>0</v>
      </c>
      <c r="CJ39" s="404">
        <v>372682</v>
      </c>
      <c r="CK39" s="404">
        <v>0</v>
      </c>
      <c r="CL39" s="404">
        <v>0</v>
      </c>
      <c r="CM39" s="404">
        <v>0</v>
      </c>
      <c r="CN39" s="404">
        <v>0</v>
      </c>
      <c r="CO39" s="404">
        <v>0</v>
      </c>
      <c r="CP39" s="404">
        <v>0</v>
      </c>
      <c r="CQ39" s="404">
        <v>0</v>
      </c>
      <c r="CR39" s="404">
        <v>0</v>
      </c>
    </row>
    <row r="40" spans="1:96" s="404" customFormat="1" x14ac:dyDescent="0.3">
      <c r="A40" s="404">
        <v>53</v>
      </c>
      <c r="B40" s="405">
        <v>53</v>
      </c>
      <c r="C40" s="404">
        <v>53</v>
      </c>
      <c r="D40" s="404" t="s">
        <v>101</v>
      </c>
      <c r="E40" s="404" t="s">
        <v>343</v>
      </c>
      <c r="F40" s="404">
        <v>0</v>
      </c>
      <c r="G40" s="404">
        <v>0</v>
      </c>
      <c r="H40" s="404">
        <v>0</v>
      </c>
      <c r="I40" s="404">
        <v>0</v>
      </c>
      <c r="J40" s="404">
        <v>354721</v>
      </c>
      <c r="K40" s="404">
        <v>0</v>
      </c>
      <c r="L40" s="404">
        <v>11983888</v>
      </c>
      <c r="M40" s="404">
        <v>0</v>
      </c>
      <c r="N40" s="404">
        <v>0</v>
      </c>
      <c r="O40" s="404">
        <v>0</v>
      </c>
      <c r="P40" s="404">
        <v>0</v>
      </c>
      <c r="Q40" s="404">
        <v>0</v>
      </c>
      <c r="R40" s="404">
        <v>0</v>
      </c>
      <c r="S40" s="404">
        <v>0</v>
      </c>
      <c r="T40" s="404">
        <v>0</v>
      </c>
      <c r="U40" s="404">
        <v>0</v>
      </c>
      <c r="V40" s="404">
        <v>0</v>
      </c>
      <c r="W40" s="404">
        <v>0</v>
      </c>
      <c r="X40" s="404">
        <v>0</v>
      </c>
      <c r="Y40" s="404">
        <v>0</v>
      </c>
      <c r="Z40" s="404">
        <v>0</v>
      </c>
      <c r="AA40" s="404">
        <v>0</v>
      </c>
      <c r="AB40" s="404">
        <v>-1038804</v>
      </c>
      <c r="AC40" s="404">
        <v>0</v>
      </c>
      <c r="AD40" s="404">
        <v>0</v>
      </c>
      <c r="AE40" s="404">
        <v>0</v>
      </c>
      <c r="AF40" s="404">
        <v>0</v>
      </c>
      <c r="AG40" s="404">
        <v>0</v>
      </c>
      <c r="AH40" s="404">
        <v>0</v>
      </c>
      <c r="AI40" s="404">
        <v>0</v>
      </c>
      <c r="AJ40" s="404">
        <v>0</v>
      </c>
      <c r="AK40" s="404">
        <v>0</v>
      </c>
      <c r="AL40" s="404">
        <v>0</v>
      </c>
      <c r="AM40" s="404">
        <v>0</v>
      </c>
      <c r="AN40" s="404">
        <v>0</v>
      </c>
      <c r="AO40" s="404">
        <v>0</v>
      </c>
      <c r="AP40" s="404">
        <v>0</v>
      </c>
      <c r="AQ40" s="404">
        <v>0</v>
      </c>
      <c r="AR40" s="404">
        <v>0</v>
      </c>
      <c r="AS40" s="404">
        <v>0</v>
      </c>
      <c r="AT40" s="404">
        <v>0</v>
      </c>
      <c r="AU40" s="404">
        <v>0</v>
      </c>
      <c r="AV40" s="404">
        <v>0</v>
      </c>
      <c r="AW40" s="404">
        <v>0</v>
      </c>
      <c r="AX40" s="404">
        <v>0</v>
      </c>
      <c r="AY40" s="404">
        <v>0</v>
      </c>
      <c r="AZ40" s="404">
        <v>296897</v>
      </c>
      <c r="BA40" s="404">
        <v>0</v>
      </c>
      <c r="BB40" s="404">
        <v>0</v>
      </c>
      <c r="BC40" s="404">
        <v>0</v>
      </c>
      <c r="BD40" s="404">
        <v>0</v>
      </c>
      <c r="BE40" s="404">
        <v>0</v>
      </c>
      <c r="BF40" s="404">
        <v>62235</v>
      </c>
      <c r="BG40" s="404">
        <v>0</v>
      </c>
      <c r="BH40" s="404">
        <v>0</v>
      </c>
      <c r="BI40" s="404">
        <v>387180</v>
      </c>
      <c r="BJ40" s="404">
        <v>0</v>
      </c>
      <c r="BK40" s="404">
        <v>0</v>
      </c>
      <c r="BL40" s="404">
        <v>0</v>
      </c>
      <c r="BM40" s="404">
        <v>921028</v>
      </c>
      <c r="BN40" s="404">
        <v>0</v>
      </c>
      <c r="BO40" s="404">
        <v>0</v>
      </c>
      <c r="BP40" s="404">
        <v>0</v>
      </c>
      <c r="BQ40" s="404">
        <v>0</v>
      </c>
      <c r="BR40" s="404">
        <v>0</v>
      </c>
      <c r="BS40" s="404">
        <v>0</v>
      </c>
      <c r="BT40" s="404">
        <v>0</v>
      </c>
      <c r="BU40" s="404">
        <v>0</v>
      </c>
      <c r="BV40" s="404">
        <v>0</v>
      </c>
      <c r="BW40" s="404">
        <v>0</v>
      </c>
      <c r="BX40" s="404">
        <v>0</v>
      </c>
      <c r="BY40" s="404">
        <v>0</v>
      </c>
      <c r="BZ40" s="404">
        <v>0</v>
      </c>
      <c r="CA40" s="404">
        <v>0</v>
      </c>
      <c r="CB40" s="404">
        <v>0</v>
      </c>
      <c r="CC40" s="404">
        <v>0</v>
      </c>
      <c r="CD40" s="404">
        <v>2811510</v>
      </c>
      <c r="CE40" s="404">
        <v>0</v>
      </c>
      <c r="CF40" s="404">
        <v>-22488</v>
      </c>
      <c r="CG40" s="404">
        <v>0</v>
      </c>
      <c r="CH40" s="404">
        <v>0</v>
      </c>
      <c r="CI40" s="404">
        <v>0</v>
      </c>
      <c r="CJ40" s="404">
        <v>733032</v>
      </c>
      <c r="CK40" s="404">
        <v>0</v>
      </c>
      <c r="CL40" s="404">
        <v>0</v>
      </c>
      <c r="CM40" s="404">
        <v>0</v>
      </c>
      <c r="CN40" s="404">
        <v>0</v>
      </c>
      <c r="CO40" s="404">
        <v>0</v>
      </c>
      <c r="CP40" s="404">
        <v>0</v>
      </c>
      <c r="CQ40" s="404">
        <v>0</v>
      </c>
      <c r="CR40" s="404">
        <v>0</v>
      </c>
    </row>
    <row r="41" spans="1:96" s="404" customFormat="1" x14ac:dyDescent="0.3">
      <c r="A41" s="404">
        <v>54</v>
      </c>
      <c r="B41" s="405"/>
      <c r="C41" s="404">
        <v>54</v>
      </c>
      <c r="D41" s="404" t="s">
        <v>630</v>
      </c>
      <c r="E41" s="404" t="s">
        <v>344</v>
      </c>
    </row>
    <row r="42" spans="1:96" s="404" customFormat="1" x14ac:dyDescent="0.3">
      <c r="A42" s="404">
        <v>55</v>
      </c>
      <c r="B42" s="405">
        <v>55</v>
      </c>
      <c r="C42" s="404">
        <v>55</v>
      </c>
      <c r="D42" s="404" t="s">
        <v>249</v>
      </c>
      <c r="E42" s="404" t="s">
        <v>345</v>
      </c>
      <c r="F42" s="404">
        <v>0</v>
      </c>
      <c r="G42" s="404">
        <v>0</v>
      </c>
      <c r="H42" s="404">
        <v>0</v>
      </c>
      <c r="I42" s="404">
        <v>0</v>
      </c>
      <c r="J42" s="404">
        <v>722319</v>
      </c>
      <c r="K42" s="404">
        <v>0</v>
      </c>
      <c r="L42" s="404">
        <v>7131901</v>
      </c>
      <c r="M42" s="404">
        <v>0</v>
      </c>
      <c r="N42" s="404">
        <v>0</v>
      </c>
      <c r="O42" s="404">
        <v>0</v>
      </c>
      <c r="P42" s="404">
        <v>0</v>
      </c>
      <c r="Q42" s="404">
        <v>0</v>
      </c>
      <c r="R42" s="404">
        <v>0</v>
      </c>
      <c r="S42" s="404">
        <v>0</v>
      </c>
      <c r="T42" s="404">
        <v>0</v>
      </c>
      <c r="U42" s="404">
        <v>0</v>
      </c>
      <c r="V42" s="404">
        <v>0</v>
      </c>
      <c r="W42" s="404">
        <v>0</v>
      </c>
      <c r="X42" s="404">
        <v>0</v>
      </c>
      <c r="Y42" s="404">
        <v>0</v>
      </c>
      <c r="Z42" s="404">
        <v>0</v>
      </c>
      <c r="AA42" s="404">
        <v>0</v>
      </c>
      <c r="AB42" s="404">
        <v>2203117</v>
      </c>
      <c r="AC42" s="404">
        <v>0</v>
      </c>
      <c r="AD42" s="404">
        <v>0</v>
      </c>
      <c r="AE42" s="404">
        <v>0</v>
      </c>
      <c r="AF42" s="404">
        <v>0</v>
      </c>
      <c r="AG42" s="404">
        <v>0</v>
      </c>
      <c r="AH42" s="404">
        <v>0</v>
      </c>
      <c r="AI42" s="404">
        <v>0</v>
      </c>
      <c r="AJ42" s="404">
        <v>0</v>
      </c>
      <c r="AK42" s="404">
        <v>0</v>
      </c>
      <c r="AL42" s="404">
        <v>0</v>
      </c>
      <c r="AM42" s="404">
        <v>0</v>
      </c>
      <c r="AN42" s="404">
        <v>0</v>
      </c>
      <c r="AO42" s="404">
        <v>0</v>
      </c>
      <c r="AP42" s="404">
        <v>0</v>
      </c>
      <c r="AQ42" s="404">
        <v>0</v>
      </c>
      <c r="AR42" s="404">
        <v>0</v>
      </c>
      <c r="AS42" s="404">
        <v>0</v>
      </c>
      <c r="AT42" s="404">
        <v>0</v>
      </c>
      <c r="AU42" s="404">
        <v>0</v>
      </c>
      <c r="AV42" s="404">
        <v>0</v>
      </c>
      <c r="AW42" s="404">
        <v>0</v>
      </c>
      <c r="AX42" s="404">
        <v>0</v>
      </c>
      <c r="AY42" s="404">
        <v>0</v>
      </c>
      <c r="AZ42" s="404">
        <v>709625</v>
      </c>
      <c r="BA42" s="404">
        <v>0</v>
      </c>
      <c r="BB42" s="404">
        <v>0</v>
      </c>
      <c r="BC42" s="404">
        <v>0</v>
      </c>
      <c r="BD42" s="404">
        <v>0</v>
      </c>
      <c r="BE42" s="404">
        <v>0</v>
      </c>
      <c r="BF42" s="404">
        <v>51755</v>
      </c>
      <c r="BG42" s="404">
        <v>0</v>
      </c>
      <c r="BH42" s="404">
        <v>0</v>
      </c>
      <c r="BI42" s="404">
        <v>4297360</v>
      </c>
      <c r="BJ42" s="404">
        <v>0</v>
      </c>
      <c r="BK42" s="404">
        <v>0</v>
      </c>
      <c r="BL42" s="404">
        <v>0</v>
      </c>
      <c r="BM42" s="404">
        <v>1933310</v>
      </c>
      <c r="BN42" s="404">
        <v>0</v>
      </c>
      <c r="BO42" s="404">
        <v>0</v>
      </c>
      <c r="BP42" s="404">
        <v>0</v>
      </c>
      <c r="BQ42" s="404">
        <v>0</v>
      </c>
      <c r="BR42" s="404">
        <v>0</v>
      </c>
      <c r="BS42" s="404">
        <v>0</v>
      </c>
      <c r="BT42" s="404">
        <v>0</v>
      </c>
      <c r="BU42" s="404">
        <v>0</v>
      </c>
      <c r="BV42" s="404">
        <v>0</v>
      </c>
      <c r="BW42" s="404">
        <v>0</v>
      </c>
      <c r="BX42" s="404">
        <v>0</v>
      </c>
      <c r="BY42" s="404">
        <v>0</v>
      </c>
      <c r="BZ42" s="404">
        <v>0</v>
      </c>
      <c r="CA42" s="404">
        <v>0</v>
      </c>
      <c r="CB42" s="404">
        <v>0</v>
      </c>
      <c r="CC42" s="404">
        <v>0</v>
      </c>
      <c r="CD42" s="404">
        <v>11675720</v>
      </c>
      <c r="CE42" s="404">
        <v>0</v>
      </c>
      <c r="CF42" s="404">
        <v>959885</v>
      </c>
      <c r="CG42" s="404">
        <v>0</v>
      </c>
      <c r="CH42" s="404">
        <v>0</v>
      </c>
      <c r="CI42" s="404">
        <v>0</v>
      </c>
      <c r="CJ42" s="404">
        <v>1629659</v>
      </c>
      <c r="CK42" s="404">
        <v>0</v>
      </c>
      <c r="CL42" s="404">
        <v>0</v>
      </c>
      <c r="CM42" s="404">
        <v>108619</v>
      </c>
      <c r="CN42" s="404">
        <v>0</v>
      </c>
      <c r="CO42" s="404">
        <v>0</v>
      </c>
      <c r="CP42" s="404">
        <v>0</v>
      </c>
      <c r="CQ42" s="404">
        <v>0</v>
      </c>
      <c r="CR42" s="404">
        <v>0</v>
      </c>
    </row>
    <row r="43" spans="1:96" s="406" customFormat="1" x14ac:dyDescent="0.3">
      <c r="A43" s="404">
        <v>61</v>
      </c>
      <c r="B43" s="405">
        <v>61</v>
      </c>
      <c r="C43" s="406">
        <v>61</v>
      </c>
      <c r="D43" s="406" t="s">
        <v>267</v>
      </c>
      <c r="E43" s="406" t="s">
        <v>346</v>
      </c>
      <c r="F43" s="1168">
        <v>98.09</v>
      </c>
      <c r="G43" s="1168">
        <v>99.69</v>
      </c>
      <c r="H43" s="1168">
        <v>97.83</v>
      </c>
      <c r="I43" s="1168">
        <v>98.85</v>
      </c>
      <c r="J43" s="1168">
        <v>96.48</v>
      </c>
      <c r="K43" s="1168">
        <v>95.44</v>
      </c>
      <c r="L43" s="1168">
        <v>99</v>
      </c>
      <c r="M43" s="1168">
        <v>99.01</v>
      </c>
      <c r="N43" s="1168">
        <v>99.22</v>
      </c>
      <c r="O43" s="1168">
        <v>0</v>
      </c>
      <c r="P43" s="1168">
        <v>98.98</v>
      </c>
      <c r="Q43" s="1168">
        <v>95.54</v>
      </c>
      <c r="R43" s="1168">
        <v>97.12</v>
      </c>
      <c r="S43" s="1168">
        <v>98.49</v>
      </c>
      <c r="T43" s="1168">
        <v>99.75</v>
      </c>
      <c r="U43" s="1168">
        <v>99.39</v>
      </c>
      <c r="V43" s="1168">
        <v>98.18</v>
      </c>
      <c r="W43" s="1168">
        <v>99.1</v>
      </c>
      <c r="X43" s="1168">
        <v>0</v>
      </c>
      <c r="Y43" s="1168">
        <v>97.94</v>
      </c>
      <c r="Z43" s="1168">
        <v>98.29</v>
      </c>
      <c r="AA43" s="1168">
        <v>88.05</v>
      </c>
      <c r="AB43" s="1168">
        <v>96.87</v>
      </c>
      <c r="AC43" s="1168">
        <v>98.17</v>
      </c>
      <c r="AD43" s="1168">
        <v>99.43</v>
      </c>
      <c r="AE43" s="1168">
        <v>95.58</v>
      </c>
      <c r="AF43" s="1168">
        <v>96.66</v>
      </c>
      <c r="AG43" s="1168">
        <v>99.18</v>
      </c>
      <c r="AH43" s="1168">
        <v>99.82</v>
      </c>
      <c r="AI43" s="1168">
        <v>99.85</v>
      </c>
      <c r="AJ43" s="1168">
        <v>96.06</v>
      </c>
      <c r="AK43" s="1168">
        <v>98.9</v>
      </c>
      <c r="AL43" s="1168">
        <v>98.03</v>
      </c>
      <c r="AM43" s="1168">
        <v>97.66</v>
      </c>
      <c r="AN43" s="1168">
        <v>97.91</v>
      </c>
      <c r="AO43" s="1168">
        <v>95.24</v>
      </c>
      <c r="AP43" s="1168">
        <v>98.38</v>
      </c>
      <c r="AQ43" s="1168">
        <v>97.89</v>
      </c>
      <c r="AR43" s="1168">
        <v>0</v>
      </c>
      <c r="AS43" s="1168">
        <v>95.04</v>
      </c>
      <c r="AT43" s="1168">
        <v>95.94</v>
      </c>
      <c r="AU43" s="1168">
        <v>99.36</v>
      </c>
      <c r="AV43" s="1168">
        <v>90.65</v>
      </c>
      <c r="AW43" s="1168">
        <v>98.08</v>
      </c>
      <c r="AX43" s="1168">
        <v>93.47</v>
      </c>
      <c r="AY43" s="1168">
        <v>89.93</v>
      </c>
      <c r="AZ43" s="1168">
        <v>99.7</v>
      </c>
      <c r="BA43" s="1168">
        <v>99.01</v>
      </c>
      <c r="BB43" s="1168">
        <v>92.24</v>
      </c>
      <c r="BC43" s="1168">
        <v>98.21</v>
      </c>
      <c r="BD43" s="1168">
        <v>96.72</v>
      </c>
      <c r="BE43" s="1168">
        <v>99.9</v>
      </c>
      <c r="BF43" s="1168">
        <v>98.19</v>
      </c>
      <c r="BG43" s="1168">
        <v>97.7</v>
      </c>
      <c r="BH43" s="1168">
        <v>96.4</v>
      </c>
      <c r="BI43" s="1168">
        <v>98.29</v>
      </c>
      <c r="BJ43" s="1168">
        <v>98.81</v>
      </c>
      <c r="BK43" s="1168">
        <v>88.43</v>
      </c>
      <c r="BL43" s="1168">
        <v>99.29</v>
      </c>
      <c r="BM43" s="1168">
        <v>96.44</v>
      </c>
      <c r="BN43" s="1168">
        <v>98.53</v>
      </c>
      <c r="BO43" s="1168">
        <v>98.24</v>
      </c>
      <c r="BP43" s="1168">
        <v>98.84</v>
      </c>
      <c r="BQ43" s="1168">
        <v>94.08</v>
      </c>
      <c r="BR43" s="1168">
        <v>99.54</v>
      </c>
      <c r="BS43" s="1168">
        <v>0</v>
      </c>
      <c r="BT43" s="1168">
        <v>99.74</v>
      </c>
      <c r="BU43" s="1168">
        <v>98.09</v>
      </c>
      <c r="BV43" s="1168">
        <v>99.65</v>
      </c>
      <c r="BW43" s="1168">
        <v>0</v>
      </c>
      <c r="BX43" s="1168">
        <v>97.31</v>
      </c>
      <c r="BY43" s="1168">
        <v>98.67</v>
      </c>
      <c r="BZ43" s="1168">
        <v>98.13</v>
      </c>
      <c r="CA43" s="406">
        <v>0</v>
      </c>
      <c r="CB43" s="406">
        <v>90.4</v>
      </c>
      <c r="CC43" s="406">
        <v>99.02</v>
      </c>
      <c r="CD43" s="406">
        <v>98.37</v>
      </c>
      <c r="CE43" s="406">
        <v>99.65</v>
      </c>
      <c r="CF43" s="406">
        <v>97.2</v>
      </c>
      <c r="CG43" s="406">
        <v>93.79</v>
      </c>
      <c r="CH43" s="406">
        <v>98.96</v>
      </c>
      <c r="CI43" s="406">
        <v>98.91</v>
      </c>
      <c r="CJ43" s="406">
        <v>98.93</v>
      </c>
      <c r="CK43" s="406">
        <v>92.98</v>
      </c>
      <c r="CL43" s="406">
        <v>99.53</v>
      </c>
      <c r="CM43" s="406">
        <v>88.06</v>
      </c>
      <c r="CN43" s="406">
        <v>99.56</v>
      </c>
      <c r="CO43" s="406">
        <v>98.39</v>
      </c>
      <c r="CP43" s="406">
        <v>98.39</v>
      </c>
      <c r="CQ43" s="406">
        <v>99.49</v>
      </c>
      <c r="CR43" s="406">
        <v>99.55</v>
      </c>
    </row>
    <row r="44" spans="1:96" s="404" customFormat="1" x14ac:dyDescent="0.3">
      <c r="A44" s="404">
        <v>80</v>
      </c>
      <c r="B44" s="405">
        <v>80</v>
      </c>
      <c r="C44" s="404">
        <v>80</v>
      </c>
      <c r="D44" s="404" t="s">
        <v>218</v>
      </c>
      <c r="E44" s="404" t="s">
        <v>347</v>
      </c>
      <c r="F44" s="404">
        <v>0</v>
      </c>
      <c r="G44" s="404">
        <v>0</v>
      </c>
      <c r="H44" s="404">
        <v>643660</v>
      </c>
      <c r="I44" s="404">
        <v>940842</v>
      </c>
      <c r="J44" s="404">
        <v>2071624</v>
      </c>
      <c r="K44" s="404">
        <v>44949</v>
      </c>
      <c r="L44" s="404">
        <v>17714691</v>
      </c>
      <c r="M44" s="404">
        <v>657131</v>
      </c>
      <c r="N44" s="404">
        <v>0</v>
      </c>
      <c r="O44" s="404">
        <v>1500966</v>
      </c>
      <c r="P44" s="404">
        <v>94669</v>
      </c>
      <c r="Q44" s="404">
        <v>0</v>
      </c>
      <c r="R44" s="404">
        <v>63504</v>
      </c>
      <c r="S44" s="404">
        <v>0</v>
      </c>
      <c r="T44" s="404">
        <v>0</v>
      </c>
      <c r="U44" s="404">
        <v>0</v>
      </c>
      <c r="V44" s="404">
        <v>5144412</v>
      </c>
      <c r="W44" s="404">
        <v>0</v>
      </c>
      <c r="X44" s="404">
        <v>3577647</v>
      </c>
      <c r="Y44" s="404">
        <v>0</v>
      </c>
      <c r="Z44" s="404">
        <v>2212600</v>
      </c>
      <c r="AA44" s="404">
        <v>0</v>
      </c>
      <c r="AB44" s="404">
        <v>2162745</v>
      </c>
      <c r="AC44" s="404">
        <v>2251185</v>
      </c>
      <c r="AD44" s="404">
        <v>168759</v>
      </c>
      <c r="AE44" s="404">
        <v>228885</v>
      </c>
      <c r="AF44" s="404">
        <v>10292036</v>
      </c>
      <c r="AG44" s="404">
        <v>0</v>
      </c>
      <c r="AH44" s="404">
        <v>1894828</v>
      </c>
      <c r="AI44" s="404">
        <v>0</v>
      </c>
      <c r="AJ44" s="404">
        <v>467929</v>
      </c>
      <c r="AK44" s="404">
        <v>1370331</v>
      </c>
      <c r="AL44" s="404">
        <v>1148710</v>
      </c>
      <c r="AM44" s="404">
        <v>428110</v>
      </c>
      <c r="AN44" s="404">
        <v>264134</v>
      </c>
      <c r="AO44" s="404">
        <v>58018</v>
      </c>
      <c r="AP44" s="404">
        <v>0</v>
      </c>
      <c r="AQ44" s="404">
        <v>829467</v>
      </c>
      <c r="AR44" s="404">
        <v>0</v>
      </c>
      <c r="AS44" s="404">
        <v>0</v>
      </c>
      <c r="AT44" s="404">
        <v>0</v>
      </c>
      <c r="AU44" s="404">
        <v>0</v>
      </c>
      <c r="AV44" s="404">
        <v>0</v>
      </c>
      <c r="AW44" s="404">
        <v>185303</v>
      </c>
      <c r="AX44" s="404">
        <v>2431482</v>
      </c>
      <c r="AY44" s="404">
        <v>416676</v>
      </c>
      <c r="AZ44" s="404">
        <v>0</v>
      </c>
      <c r="BA44" s="404">
        <v>0</v>
      </c>
      <c r="BB44" s="404">
        <v>2154989</v>
      </c>
      <c r="BC44" s="404">
        <v>0</v>
      </c>
      <c r="BD44" s="404">
        <v>1477819</v>
      </c>
      <c r="BE44" s="404">
        <v>1062148</v>
      </c>
      <c r="BF44" s="404">
        <v>138574</v>
      </c>
      <c r="BG44" s="404">
        <v>411203</v>
      </c>
      <c r="BH44" s="404">
        <v>2259651</v>
      </c>
      <c r="BI44" s="404">
        <v>6575327</v>
      </c>
      <c r="BJ44" s="404">
        <v>0</v>
      </c>
      <c r="BK44" s="404">
        <v>0</v>
      </c>
      <c r="BL44" s="404">
        <v>0</v>
      </c>
      <c r="BM44" s="404">
        <v>4337005</v>
      </c>
      <c r="BN44" s="404">
        <v>3470012</v>
      </c>
      <c r="BO44" s="404">
        <v>0</v>
      </c>
      <c r="BP44" s="404">
        <v>0</v>
      </c>
      <c r="BQ44" s="404">
        <v>2238387</v>
      </c>
      <c r="BR44" s="404">
        <v>0</v>
      </c>
      <c r="BS44" s="404">
        <v>0</v>
      </c>
      <c r="BT44" s="404">
        <v>0</v>
      </c>
      <c r="BU44" s="404">
        <v>959941</v>
      </c>
      <c r="BV44" s="404">
        <v>0</v>
      </c>
      <c r="BW44" s="404">
        <v>0</v>
      </c>
      <c r="BX44" s="404">
        <v>2067477</v>
      </c>
      <c r="BY44" s="404">
        <v>2392091</v>
      </c>
      <c r="BZ44" s="404">
        <v>79578</v>
      </c>
      <c r="CA44" s="404">
        <v>0</v>
      </c>
      <c r="CB44" s="404">
        <v>7462217</v>
      </c>
      <c r="CC44" s="404">
        <v>0</v>
      </c>
      <c r="CD44" s="404">
        <v>17717593</v>
      </c>
      <c r="CE44" s="404">
        <v>38385</v>
      </c>
      <c r="CF44" s="404">
        <v>1472353</v>
      </c>
      <c r="CG44" s="404">
        <v>24511</v>
      </c>
      <c r="CH44" s="404">
        <v>993099</v>
      </c>
      <c r="CI44" s="404">
        <v>74583674</v>
      </c>
      <c r="CJ44" s="404">
        <v>2069461</v>
      </c>
      <c r="CK44" s="404">
        <v>1058235</v>
      </c>
      <c r="CL44" s="404">
        <v>0</v>
      </c>
      <c r="CM44" s="404">
        <v>327496</v>
      </c>
      <c r="CN44" s="404">
        <v>7690991</v>
      </c>
      <c r="CO44" s="404">
        <v>3297112</v>
      </c>
      <c r="CP44" s="404">
        <v>1793266</v>
      </c>
      <c r="CQ44" s="404">
        <v>0</v>
      </c>
      <c r="CR44" s="404">
        <v>0</v>
      </c>
    </row>
    <row r="45" spans="1:96" s="404" customFormat="1" x14ac:dyDescent="0.3">
      <c r="A45" s="404">
        <v>81</v>
      </c>
      <c r="B45" s="405">
        <v>81</v>
      </c>
      <c r="C45" s="404">
        <v>81</v>
      </c>
      <c r="D45" s="404" t="s">
        <v>219</v>
      </c>
      <c r="E45" s="404" t="s">
        <v>348</v>
      </c>
      <c r="F45" s="404">
        <v>0</v>
      </c>
      <c r="G45" s="404">
        <v>0</v>
      </c>
      <c r="H45" s="404">
        <v>38547</v>
      </c>
      <c r="I45" s="404">
        <v>332347</v>
      </c>
      <c r="J45" s="404">
        <v>108557</v>
      </c>
      <c r="K45" s="404">
        <v>119607</v>
      </c>
      <c r="L45" s="404">
        <v>1879537</v>
      </c>
      <c r="M45" s="404">
        <v>90062</v>
      </c>
      <c r="N45" s="404">
        <v>0</v>
      </c>
      <c r="O45" s="404">
        <v>35918</v>
      </c>
      <c r="P45" s="404">
        <v>75401</v>
      </c>
      <c r="Q45" s="404">
        <v>0</v>
      </c>
      <c r="R45" s="404">
        <v>20153</v>
      </c>
      <c r="S45" s="404">
        <v>0</v>
      </c>
      <c r="T45" s="404">
        <v>0</v>
      </c>
      <c r="U45" s="404">
        <v>0</v>
      </c>
      <c r="V45" s="404">
        <v>814936</v>
      </c>
      <c r="W45" s="404">
        <v>0</v>
      </c>
      <c r="X45" s="404">
        <v>148192</v>
      </c>
      <c r="Y45" s="404">
        <v>0</v>
      </c>
      <c r="Z45" s="404">
        <v>65513</v>
      </c>
      <c r="AA45" s="404">
        <v>0</v>
      </c>
      <c r="AB45" s="404">
        <v>537871</v>
      </c>
      <c r="AC45" s="404">
        <v>381338</v>
      </c>
      <c r="AD45" s="404">
        <v>20492</v>
      </c>
      <c r="AE45" s="404">
        <v>5431</v>
      </c>
      <c r="AF45" s="404">
        <v>2049734</v>
      </c>
      <c r="AG45" s="404">
        <v>0</v>
      </c>
      <c r="AH45" s="404">
        <v>102197</v>
      </c>
      <c r="AI45" s="404">
        <v>0</v>
      </c>
      <c r="AJ45" s="404">
        <v>15926</v>
      </c>
      <c r="AK45" s="404">
        <v>85830</v>
      </c>
      <c r="AL45" s="404">
        <v>152580</v>
      </c>
      <c r="AM45" s="404">
        <v>415032</v>
      </c>
      <c r="AN45" s="404">
        <v>234196</v>
      </c>
      <c r="AO45" s="404">
        <v>5391</v>
      </c>
      <c r="AP45" s="404">
        <v>0</v>
      </c>
      <c r="AQ45" s="404">
        <v>561937</v>
      </c>
      <c r="AR45" s="404">
        <v>0</v>
      </c>
      <c r="AS45" s="404">
        <v>0</v>
      </c>
      <c r="AT45" s="404">
        <v>0</v>
      </c>
      <c r="AU45" s="404">
        <v>0</v>
      </c>
      <c r="AV45" s="404">
        <v>0</v>
      </c>
      <c r="AW45" s="404">
        <v>11843</v>
      </c>
      <c r="AX45" s="404">
        <v>434963</v>
      </c>
      <c r="AY45" s="404">
        <v>18999</v>
      </c>
      <c r="AZ45" s="404">
        <v>0</v>
      </c>
      <c r="BA45" s="404">
        <v>0</v>
      </c>
      <c r="BB45" s="404">
        <v>514757</v>
      </c>
      <c r="BC45" s="404">
        <v>0</v>
      </c>
      <c r="BD45" s="404">
        <v>237763</v>
      </c>
      <c r="BE45" s="404">
        <v>87671</v>
      </c>
      <c r="BF45" s="404">
        <v>17266</v>
      </c>
      <c r="BG45" s="404">
        <v>109732</v>
      </c>
      <c r="BH45" s="404">
        <v>155306</v>
      </c>
      <c r="BI45" s="404">
        <v>1034977</v>
      </c>
      <c r="BJ45" s="404">
        <v>0</v>
      </c>
      <c r="BK45" s="404">
        <v>0</v>
      </c>
      <c r="BL45" s="404">
        <v>0</v>
      </c>
      <c r="BM45" s="404">
        <v>777479</v>
      </c>
      <c r="BN45" s="404">
        <v>397224</v>
      </c>
      <c r="BO45" s="404">
        <v>0</v>
      </c>
      <c r="BP45" s="404">
        <v>0</v>
      </c>
      <c r="BQ45" s="404">
        <v>177939</v>
      </c>
      <c r="BR45" s="404">
        <v>0</v>
      </c>
      <c r="BS45" s="404">
        <v>0</v>
      </c>
      <c r="BT45" s="404">
        <v>0</v>
      </c>
      <c r="BU45" s="404">
        <v>86259</v>
      </c>
      <c r="BV45" s="404">
        <v>0</v>
      </c>
      <c r="BW45" s="404">
        <v>0</v>
      </c>
      <c r="BX45" s="404">
        <v>156672</v>
      </c>
      <c r="BY45" s="404">
        <v>428904</v>
      </c>
      <c r="BZ45" s="404">
        <v>1769</v>
      </c>
      <c r="CA45" s="404">
        <v>0</v>
      </c>
      <c r="CB45" s="404">
        <v>338296</v>
      </c>
      <c r="CC45" s="404">
        <v>0</v>
      </c>
      <c r="CD45" s="404">
        <v>3453775</v>
      </c>
      <c r="CE45" s="404">
        <v>2610</v>
      </c>
      <c r="CF45" s="404">
        <v>149960</v>
      </c>
      <c r="CG45" s="404">
        <v>37606</v>
      </c>
      <c r="CH45" s="404">
        <v>200521</v>
      </c>
      <c r="CI45" s="404">
        <v>14515356</v>
      </c>
      <c r="CJ45" s="404">
        <v>454828</v>
      </c>
      <c r="CK45" s="404">
        <v>91663</v>
      </c>
      <c r="CL45" s="404">
        <v>0</v>
      </c>
      <c r="CM45" s="404">
        <v>41408</v>
      </c>
      <c r="CN45" s="404">
        <v>660854</v>
      </c>
      <c r="CO45" s="404">
        <v>306698</v>
      </c>
      <c r="CP45" s="404">
        <v>368165</v>
      </c>
      <c r="CQ45" s="404">
        <v>0</v>
      </c>
      <c r="CR45" s="404">
        <v>0</v>
      </c>
    </row>
    <row r="46" spans="1:96" s="404" customFormat="1" x14ac:dyDescent="0.3">
      <c r="A46" s="404">
        <v>82</v>
      </c>
      <c r="B46" s="405">
        <v>82</v>
      </c>
      <c r="C46" s="404">
        <v>82</v>
      </c>
      <c r="D46" s="404" t="s">
        <v>553</v>
      </c>
      <c r="E46" s="404" t="s">
        <v>349</v>
      </c>
      <c r="F46" s="404">
        <v>0</v>
      </c>
      <c r="G46" s="404">
        <v>0</v>
      </c>
      <c r="H46" s="404">
        <v>0</v>
      </c>
      <c r="I46" s="404">
        <v>5107610</v>
      </c>
      <c r="J46" s="404">
        <v>2508731</v>
      </c>
      <c r="K46" s="404">
        <v>0</v>
      </c>
      <c r="L46" s="404">
        <v>23126216</v>
      </c>
      <c r="M46" s="404">
        <v>659600</v>
      </c>
      <c r="N46" s="404">
        <v>0</v>
      </c>
      <c r="O46" s="404">
        <v>0</v>
      </c>
      <c r="P46" s="404">
        <v>1013793</v>
      </c>
      <c r="Q46" s="404">
        <v>0</v>
      </c>
      <c r="R46" s="404">
        <v>523652</v>
      </c>
      <c r="S46" s="404">
        <v>0</v>
      </c>
      <c r="T46" s="404">
        <v>0</v>
      </c>
      <c r="U46" s="404">
        <v>0</v>
      </c>
      <c r="V46" s="404">
        <v>13190321</v>
      </c>
      <c r="W46" s="404">
        <v>0</v>
      </c>
      <c r="X46" s="404">
        <v>0</v>
      </c>
      <c r="Y46" s="404">
        <v>0</v>
      </c>
      <c r="Z46" s="404">
        <v>1137727</v>
      </c>
      <c r="AA46" s="404">
        <v>0</v>
      </c>
      <c r="AB46" s="404">
        <v>405481</v>
      </c>
      <c r="AC46" s="404">
        <v>3822988</v>
      </c>
      <c r="AD46" s="404">
        <v>0</v>
      </c>
      <c r="AE46" s="404">
        <v>320609</v>
      </c>
      <c r="AF46" s="404">
        <v>34113228</v>
      </c>
      <c r="AG46" s="404">
        <v>0</v>
      </c>
      <c r="AH46" s="404">
        <v>2983250</v>
      </c>
      <c r="AI46" s="404">
        <v>0</v>
      </c>
      <c r="AJ46" s="404">
        <v>0</v>
      </c>
      <c r="AK46" s="404">
        <v>12580367</v>
      </c>
      <c r="AL46" s="404">
        <v>1734148</v>
      </c>
      <c r="AM46" s="404">
        <v>701965</v>
      </c>
      <c r="AN46" s="404">
        <v>2644277</v>
      </c>
      <c r="AO46" s="404">
        <v>10982</v>
      </c>
      <c r="AP46" s="404">
        <v>0</v>
      </c>
      <c r="AQ46" s="404">
        <v>3925906</v>
      </c>
      <c r="AR46" s="404">
        <v>0</v>
      </c>
      <c r="AS46" s="404">
        <v>0</v>
      </c>
      <c r="AT46" s="404">
        <v>0</v>
      </c>
      <c r="AU46" s="404">
        <v>0</v>
      </c>
      <c r="AV46" s="404">
        <v>0</v>
      </c>
      <c r="AW46" s="404">
        <v>54500</v>
      </c>
      <c r="AX46" s="404">
        <v>185059</v>
      </c>
      <c r="AY46" s="404">
        <v>0</v>
      </c>
      <c r="AZ46" s="404">
        <v>0</v>
      </c>
      <c r="BA46" s="404">
        <v>247824</v>
      </c>
      <c r="BB46" s="404">
        <v>4835570</v>
      </c>
      <c r="BC46" s="404">
        <v>0</v>
      </c>
      <c r="BD46" s="404">
        <v>547471</v>
      </c>
      <c r="BE46" s="404">
        <v>391224</v>
      </c>
      <c r="BF46" s="404">
        <v>0</v>
      </c>
      <c r="BG46" s="404">
        <v>3092606</v>
      </c>
      <c r="BH46" s="404">
        <v>1882422</v>
      </c>
      <c r="BI46" s="404">
        <v>1712783</v>
      </c>
      <c r="BJ46" s="404">
        <v>0</v>
      </c>
      <c r="BK46" s="404">
        <v>0</v>
      </c>
      <c r="BL46" s="404">
        <v>0</v>
      </c>
      <c r="BM46" s="404">
        <v>911091</v>
      </c>
      <c r="BN46" s="404">
        <v>4326000</v>
      </c>
      <c r="BO46" s="404">
        <v>0</v>
      </c>
      <c r="BP46" s="404">
        <v>0</v>
      </c>
      <c r="BQ46" s="404">
        <v>0</v>
      </c>
      <c r="BR46" s="404">
        <v>1215982</v>
      </c>
      <c r="BS46" s="404">
        <v>0</v>
      </c>
      <c r="BT46" s="404">
        <v>0</v>
      </c>
      <c r="BU46" s="404">
        <v>897320</v>
      </c>
      <c r="BV46" s="404">
        <v>0</v>
      </c>
      <c r="BW46" s="404">
        <v>0</v>
      </c>
      <c r="BX46" s="404">
        <v>253683</v>
      </c>
      <c r="BY46" s="404">
        <v>1058774</v>
      </c>
      <c r="BZ46" s="404">
        <v>0</v>
      </c>
      <c r="CA46" s="404">
        <v>0</v>
      </c>
      <c r="CB46" s="404">
        <v>8243489</v>
      </c>
      <c r="CC46" s="404">
        <v>0</v>
      </c>
      <c r="CD46" s="404">
        <v>15888869</v>
      </c>
      <c r="CE46" s="404">
        <v>3003000</v>
      </c>
      <c r="CF46" s="404">
        <v>564116</v>
      </c>
      <c r="CG46" s="404">
        <v>309500</v>
      </c>
      <c r="CH46" s="404">
        <v>3551620</v>
      </c>
      <c r="CI46" s="404">
        <v>517756979</v>
      </c>
      <c r="CJ46" s="404">
        <v>4519368</v>
      </c>
      <c r="CK46" s="404">
        <v>100544</v>
      </c>
      <c r="CL46" s="404">
        <v>0</v>
      </c>
      <c r="CM46" s="404">
        <v>430492</v>
      </c>
      <c r="CN46" s="404">
        <v>0</v>
      </c>
      <c r="CO46" s="404">
        <v>0</v>
      </c>
      <c r="CP46" s="404">
        <v>2464158</v>
      </c>
      <c r="CQ46" s="404">
        <v>0</v>
      </c>
      <c r="CR46" s="404">
        <v>0</v>
      </c>
    </row>
    <row r="47" spans="1:96" s="404" customFormat="1" x14ac:dyDescent="0.3">
      <c r="A47" s="404">
        <v>83</v>
      </c>
      <c r="B47" s="405">
        <v>83</v>
      </c>
      <c r="C47" s="404">
        <v>83</v>
      </c>
      <c r="D47" s="404" t="s">
        <v>102</v>
      </c>
      <c r="E47" s="404" t="s">
        <v>350</v>
      </c>
      <c r="F47" s="404">
        <v>0</v>
      </c>
      <c r="G47" s="404">
        <v>0</v>
      </c>
      <c r="H47" s="404">
        <v>4343868</v>
      </c>
      <c r="I47" s="404">
        <v>10304692</v>
      </c>
      <c r="J47" s="404">
        <v>6745780</v>
      </c>
      <c r="K47" s="404">
        <v>1026269</v>
      </c>
      <c r="L47" s="404">
        <v>59194195</v>
      </c>
      <c r="M47" s="404">
        <v>3874802</v>
      </c>
      <c r="N47" s="404">
        <v>0</v>
      </c>
      <c r="O47" s="404">
        <v>4430487</v>
      </c>
      <c r="P47" s="404">
        <v>6417839</v>
      </c>
      <c r="Q47" s="404">
        <v>0</v>
      </c>
      <c r="R47" s="404">
        <v>3857856</v>
      </c>
      <c r="S47" s="404">
        <v>0</v>
      </c>
      <c r="T47" s="404">
        <v>0</v>
      </c>
      <c r="U47" s="404">
        <v>0</v>
      </c>
      <c r="V47" s="404">
        <v>34070660</v>
      </c>
      <c r="W47" s="404">
        <v>0</v>
      </c>
      <c r="X47" s="404">
        <v>4595571</v>
      </c>
      <c r="Y47" s="404">
        <v>0</v>
      </c>
      <c r="Z47" s="404">
        <v>11448283</v>
      </c>
      <c r="AA47" s="404">
        <v>0</v>
      </c>
      <c r="AB47" s="404">
        <v>10534071</v>
      </c>
      <c r="AC47" s="404">
        <v>11993288</v>
      </c>
      <c r="AD47" s="404">
        <v>363754</v>
      </c>
      <c r="AE47" s="404">
        <v>2541479</v>
      </c>
      <c r="AF47" s="404">
        <v>17453856</v>
      </c>
      <c r="AG47" s="404">
        <v>0</v>
      </c>
      <c r="AH47" s="404">
        <v>4305248</v>
      </c>
      <c r="AI47" s="404">
        <v>0</v>
      </c>
      <c r="AJ47" s="404">
        <v>6148596</v>
      </c>
      <c r="AK47" s="404">
        <v>12044178</v>
      </c>
      <c r="AL47" s="404">
        <v>15025747</v>
      </c>
      <c r="AM47" s="404">
        <v>7488977</v>
      </c>
      <c r="AN47" s="404">
        <v>3630644</v>
      </c>
      <c r="AO47" s="404">
        <v>170955</v>
      </c>
      <c r="AP47" s="404">
        <v>0</v>
      </c>
      <c r="AQ47" s="404">
        <v>20630921</v>
      </c>
      <c r="AR47" s="404">
        <v>0</v>
      </c>
      <c r="AS47" s="404">
        <v>0</v>
      </c>
      <c r="AT47" s="404">
        <v>0</v>
      </c>
      <c r="AU47" s="404">
        <v>0</v>
      </c>
      <c r="AV47" s="404">
        <v>0</v>
      </c>
      <c r="AW47" s="404">
        <v>449208</v>
      </c>
      <c r="AX47" s="404">
        <v>12662568</v>
      </c>
      <c r="AY47" s="404">
        <v>3500213</v>
      </c>
      <c r="AZ47" s="404">
        <v>0</v>
      </c>
      <c r="BA47" s="404">
        <v>208401</v>
      </c>
      <c r="BB47" s="404">
        <v>13906724</v>
      </c>
      <c r="BC47" s="404">
        <v>0</v>
      </c>
      <c r="BD47" s="404">
        <v>4449068</v>
      </c>
      <c r="BE47" s="404">
        <v>2591550</v>
      </c>
      <c r="BF47" s="404">
        <v>1447973</v>
      </c>
      <c r="BG47" s="404">
        <v>7035189</v>
      </c>
      <c r="BH47" s="404">
        <v>16319297</v>
      </c>
      <c r="BI47" s="404">
        <v>36508298</v>
      </c>
      <c r="BJ47" s="404">
        <v>0</v>
      </c>
      <c r="BK47" s="404">
        <v>0</v>
      </c>
      <c r="BL47" s="404">
        <v>0</v>
      </c>
      <c r="BM47" s="404">
        <v>22892074</v>
      </c>
      <c r="BN47" s="404">
        <v>9850614</v>
      </c>
      <c r="BO47" s="404">
        <v>0</v>
      </c>
      <c r="BP47" s="404">
        <v>0</v>
      </c>
      <c r="BQ47" s="404">
        <v>8961878</v>
      </c>
      <c r="BR47" s="404">
        <v>0</v>
      </c>
      <c r="BS47" s="404">
        <v>0</v>
      </c>
      <c r="BT47" s="404">
        <v>0</v>
      </c>
      <c r="BU47" s="404">
        <v>9923956</v>
      </c>
      <c r="BV47" s="404">
        <v>0</v>
      </c>
      <c r="BW47" s="404">
        <v>0</v>
      </c>
      <c r="BX47" s="404">
        <v>5971013</v>
      </c>
      <c r="BY47" s="404">
        <v>16282231</v>
      </c>
      <c r="BZ47" s="404">
        <v>694455</v>
      </c>
      <c r="CA47" s="404">
        <v>0</v>
      </c>
      <c r="CB47" s="404">
        <v>13719511</v>
      </c>
      <c r="CC47" s="404">
        <v>0</v>
      </c>
      <c r="CD47" s="404">
        <v>141215225</v>
      </c>
      <c r="CE47" s="404">
        <v>3836112</v>
      </c>
      <c r="CF47" s="404">
        <v>6211545</v>
      </c>
      <c r="CG47" s="404">
        <v>4313463</v>
      </c>
      <c r="CH47" s="404">
        <v>6609446</v>
      </c>
      <c r="CI47" s="404">
        <v>574001607</v>
      </c>
      <c r="CJ47" s="404">
        <v>5365843</v>
      </c>
      <c r="CK47" s="404">
        <v>4043528</v>
      </c>
      <c r="CL47" s="404">
        <v>0</v>
      </c>
      <c r="CM47" s="404">
        <v>2171202</v>
      </c>
      <c r="CN47" s="404">
        <v>12115931</v>
      </c>
      <c r="CO47" s="404">
        <v>14704938</v>
      </c>
      <c r="CP47" s="404">
        <v>10284627</v>
      </c>
      <c r="CQ47" s="404">
        <v>0</v>
      </c>
      <c r="CR47" s="404">
        <v>0</v>
      </c>
    </row>
    <row r="48" spans="1:96" s="404" customFormat="1" x14ac:dyDescent="0.3">
      <c r="A48" s="404">
        <v>84</v>
      </c>
      <c r="B48" s="405">
        <v>84</v>
      </c>
      <c r="C48" s="404">
        <v>84</v>
      </c>
      <c r="D48" s="404" t="s">
        <v>227</v>
      </c>
      <c r="E48" s="404" t="s">
        <v>351</v>
      </c>
      <c r="F48" s="404">
        <v>0</v>
      </c>
      <c r="G48" s="404">
        <v>0</v>
      </c>
      <c r="H48" s="404">
        <v>503649</v>
      </c>
      <c r="I48" s="404">
        <v>2837045</v>
      </c>
      <c r="J48" s="404">
        <v>809668</v>
      </c>
      <c r="K48" s="404">
        <v>268606</v>
      </c>
      <c r="L48" s="404">
        <v>12241850</v>
      </c>
      <c r="M48" s="404">
        <v>501536</v>
      </c>
      <c r="N48" s="404">
        <v>0</v>
      </c>
      <c r="O48" s="404">
        <v>457783</v>
      </c>
      <c r="P48" s="404">
        <v>658847</v>
      </c>
      <c r="Q48" s="404">
        <v>0</v>
      </c>
      <c r="R48" s="404">
        <v>289350</v>
      </c>
      <c r="S48" s="404">
        <v>0</v>
      </c>
      <c r="T48" s="404">
        <v>0</v>
      </c>
      <c r="U48" s="404">
        <v>0</v>
      </c>
      <c r="V48" s="404">
        <v>6173281</v>
      </c>
      <c r="W48" s="404">
        <v>0</v>
      </c>
      <c r="X48" s="404">
        <v>1192390</v>
      </c>
      <c r="Y48" s="404">
        <v>0</v>
      </c>
      <c r="Z48" s="404">
        <v>1426090</v>
      </c>
      <c r="AA48" s="404">
        <v>0</v>
      </c>
      <c r="AB48" s="404">
        <v>4257387</v>
      </c>
      <c r="AC48" s="404">
        <v>2405282</v>
      </c>
      <c r="AD48" s="404">
        <v>229393</v>
      </c>
      <c r="AE48" s="404">
        <v>289097</v>
      </c>
      <c r="AF48" s="404">
        <v>12642755</v>
      </c>
      <c r="AG48" s="404">
        <v>0</v>
      </c>
      <c r="AH48" s="404">
        <v>779314</v>
      </c>
      <c r="AI48" s="404">
        <v>0</v>
      </c>
      <c r="AJ48" s="404">
        <v>151746</v>
      </c>
      <c r="AK48" s="404">
        <v>867889</v>
      </c>
      <c r="AL48" s="404">
        <v>3075872</v>
      </c>
      <c r="AM48" s="404">
        <v>1744199</v>
      </c>
      <c r="AN48" s="404">
        <v>1559364</v>
      </c>
      <c r="AO48" s="404">
        <v>48978</v>
      </c>
      <c r="AP48" s="404">
        <v>0</v>
      </c>
      <c r="AQ48" s="404">
        <v>4947109</v>
      </c>
      <c r="AR48" s="404">
        <v>0</v>
      </c>
      <c r="AS48" s="404">
        <v>0</v>
      </c>
      <c r="AT48" s="404">
        <v>0</v>
      </c>
      <c r="AU48" s="404">
        <v>0</v>
      </c>
      <c r="AV48" s="404">
        <v>0</v>
      </c>
      <c r="AW48" s="404">
        <v>108245</v>
      </c>
      <c r="AX48" s="404">
        <v>2894206</v>
      </c>
      <c r="AY48" s="404">
        <v>249572</v>
      </c>
      <c r="AZ48" s="404">
        <v>0</v>
      </c>
      <c r="BA48" s="404">
        <v>0</v>
      </c>
      <c r="BB48" s="404">
        <v>3234368</v>
      </c>
      <c r="BC48" s="404">
        <v>0</v>
      </c>
      <c r="BD48" s="404">
        <v>865364</v>
      </c>
      <c r="BE48" s="404">
        <v>388864</v>
      </c>
      <c r="BF48" s="404">
        <v>186155</v>
      </c>
      <c r="BG48" s="404">
        <v>1095141</v>
      </c>
      <c r="BH48" s="404">
        <v>1610024</v>
      </c>
      <c r="BI48" s="404">
        <v>6484321</v>
      </c>
      <c r="BJ48" s="404">
        <v>0</v>
      </c>
      <c r="BK48" s="404">
        <v>0</v>
      </c>
      <c r="BL48" s="404">
        <v>0</v>
      </c>
      <c r="BM48" s="404">
        <v>6273415</v>
      </c>
      <c r="BN48" s="404">
        <v>2464546</v>
      </c>
      <c r="BO48" s="404">
        <v>0</v>
      </c>
      <c r="BP48" s="404">
        <v>0</v>
      </c>
      <c r="BQ48" s="404">
        <v>1802712</v>
      </c>
      <c r="BR48" s="404">
        <v>0</v>
      </c>
      <c r="BS48" s="404">
        <v>0</v>
      </c>
      <c r="BT48" s="404">
        <v>0</v>
      </c>
      <c r="BU48" s="404">
        <v>1016149</v>
      </c>
      <c r="BV48" s="404">
        <v>0</v>
      </c>
      <c r="BW48" s="404">
        <v>0</v>
      </c>
      <c r="BX48" s="404">
        <v>1468466</v>
      </c>
      <c r="BY48" s="404">
        <v>2693314</v>
      </c>
      <c r="BZ48" s="404">
        <v>22058</v>
      </c>
      <c r="CA48" s="404">
        <v>0</v>
      </c>
      <c r="CB48" s="404">
        <v>4005860</v>
      </c>
      <c r="CC48" s="404">
        <v>0</v>
      </c>
      <c r="CD48" s="404">
        <v>28009233</v>
      </c>
      <c r="CE48" s="404">
        <v>130707</v>
      </c>
      <c r="CF48" s="404">
        <v>1036716</v>
      </c>
      <c r="CG48" s="404">
        <v>211064</v>
      </c>
      <c r="CH48" s="404">
        <v>2050192</v>
      </c>
      <c r="CI48" s="404">
        <v>115210981</v>
      </c>
      <c r="CJ48" s="404">
        <v>3708856</v>
      </c>
      <c r="CK48" s="404">
        <v>600233</v>
      </c>
      <c r="CL48" s="404">
        <v>0</v>
      </c>
      <c r="CM48" s="404">
        <v>324122</v>
      </c>
      <c r="CN48" s="404">
        <v>3523867</v>
      </c>
      <c r="CO48" s="404">
        <v>2429138</v>
      </c>
      <c r="CP48" s="404">
        <v>1755442</v>
      </c>
      <c r="CQ48" s="404">
        <v>0</v>
      </c>
      <c r="CR48" s="404">
        <v>0</v>
      </c>
    </row>
    <row r="49" spans="1:96" s="404" customFormat="1" x14ac:dyDescent="0.3">
      <c r="A49" s="404">
        <v>85</v>
      </c>
      <c r="B49" s="405">
        <v>85</v>
      </c>
      <c r="C49" s="404">
        <v>85</v>
      </c>
      <c r="D49" s="404" t="s">
        <v>229</v>
      </c>
      <c r="E49" s="404" t="s">
        <v>352</v>
      </c>
      <c r="F49" s="404">
        <v>0</v>
      </c>
      <c r="G49" s="404">
        <v>0</v>
      </c>
      <c r="H49" s="404">
        <v>487528</v>
      </c>
      <c r="I49" s="404">
        <v>2978031</v>
      </c>
      <c r="J49" s="404">
        <v>801295</v>
      </c>
      <c r="K49" s="404">
        <v>324301</v>
      </c>
      <c r="L49" s="404">
        <v>12435668</v>
      </c>
      <c r="M49" s="404">
        <v>635316</v>
      </c>
      <c r="N49" s="404">
        <v>0</v>
      </c>
      <c r="O49" s="404">
        <v>541914</v>
      </c>
      <c r="P49" s="404">
        <v>783201</v>
      </c>
      <c r="Q49" s="404">
        <v>0</v>
      </c>
      <c r="R49" s="404">
        <v>350787</v>
      </c>
      <c r="S49" s="404">
        <v>0</v>
      </c>
      <c r="T49" s="404">
        <v>0</v>
      </c>
      <c r="U49" s="404">
        <v>0</v>
      </c>
      <c r="V49" s="404">
        <v>3651938</v>
      </c>
      <c r="W49" s="404">
        <v>0</v>
      </c>
      <c r="X49" s="404">
        <v>1061601</v>
      </c>
      <c r="Y49" s="404">
        <v>0</v>
      </c>
      <c r="Z49" s="404">
        <v>1726068</v>
      </c>
      <c r="AA49" s="404">
        <v>0</v>
      </c>
      <c r="AB49" s="404">
        <v>4861149</v>
      </c>
      <c r="AC49" s="404">
        <v>2724112</v>
      </c>
      <c r="AD49" s="404">
        <v>257295</v>
      </c>
      <c r="AE49" s="404">
        <v>325794</v>
      </c>
      <c r="AF49" s="404">
        <v>11139439</v>
      </c>
      <c r="AG49" s="404">
        <v>0</v>
      </c>
      <c r="AH49" s="404">
        <v>729814</v>
      </c>
      <c r="AI49" s="404">
        <v>0</v>
      </c>
      <c r="AJ49" s="404">
        <v>236989</v>
      </c>
      <c r="AK49" s="404">
        <v>2302572</v>
      </c>
      <c r="AL49" s="404">
        <v>2259011</v>
      </c>
      <c r="AM49" s="404">
        <v>1919979</v>
      </c>
      <c r="AN49" s="404">
        <v>1777542</v>
      </c>
      <c r="AO49" s="404">
        <v>60595</v>
      </c>
      <c r="AP49" s="404">
        <v>0</v>
      </c>
      <c r="AQ49" s="404">
        <v>5139005</v>
      </c>
      <c r="AR49" s="404">
        <v>0</v>
      </c>
      <c r="AS49" s="404">
        <v>0</v>
      </c>
      <c r="AT49" s="404">
        <v>0</v>
      </c>
      <c r="AU49" s="404">
        <v>0</v>
      </c>
      <c r="AV49" s="404">
        <v>0</v>
      </c>
      <c r="AW49" s="404">
        <v>181170</v>
      </c>
      <c r="AX49" s="404">
        <v>2702395</v>
      </c>
      <c r="AY49" s="404">
        <v>294257</v>
      </c>
      <c r="AZ49" s="404">
        <v>0</v>
      </c>
      <c r="BA49" s="404">
        <v>0</v>
      </c>
      <c r="BB49" s="404">
        <v>3487084</v>
      </c>
      <c r="BC49" s="404">
        <v>0</v>
      </c>
      <c r="BD49" s="404">
        <v>812496</v>
      </c>
      <c r="BE49" s="404">
        <v>352170</v>
      </c>
      <c r="BF49" s="404">
        <v>241805</v>
      </c>
      <c r="BG49" s="404">
        <v>1501777</v>
      </c>
      <c r="BH49" s="404">
        <v>1786044</v>
      </c>
      <c r="BI49" s="404">
        <v>6850739</v>
      </c>
      <c r="BJ49" s="404">
        <v>0</v>
      </c>
      <c r="BK49" s="404">
        <v>0</v>
      </c>
      <c r="BL49" s="404">
        <v>0</v>
      </c>
      <c r="BM49" s="404">
        <v>6480519</v>
      </c>
      <c r="BN49" s="404">
        <v>2128528</v>
      </c>
      <c r="BO49" s="404">
        <v>0</v>
      </c>
      <c r="BP49" s="404">
        <v>0</v>
      </c>
      <c r="BQ49" s="404">
        <v>1771686</v>
      </c>
      <c r="BR49" s="404">
        <v>0</v>
      </c>
      <c r="BS49" s="404">
        <v>0</v>
      </c>
      <c r="BT49" s="404">
        <v>0</v>
      </c>
      <c r="BU49" s="404">
        <v>1137606</v>
      </c>
      <c r="BV49" s="404">
        <v>0</v>
      </c>
      <c r="BW49" s="404">
        <v>0</v>
      </c>
      <c r="BX49" s="404">
        <v>1170326</v>
      </c>
      <c r="BY49" s="404">
        <v>3000464</v>
      </c>
      <c r="BZ49" s="404">
        <v>33249</v>
      </c>
      <c r="CA49" s="404">
        <v>0</v>
      </c>
      <c r="CB49" s="404">
        <v>4183470</v>
      </c>
      <c r="CC49" s="404">
        <v>0</v>
      </c>
      <c r="CD49" s="404">
        <v>22866803</v>
      </c>
      <c r="CE49" s="404">
        <v>170728</v>
      </c>
      <c r="CF49" s="404">
        <v>1021528</v>
      </c>
      <c r="CG49" s="404">
        <v>330813</v>
      </c>
      <c r="CH49" s="404">
        <v>1877988</v>
      </c>
      <c r="CI49" s="404">
        <v>77121747</v>
      </c>
      <c r="CJ49" s="404">
        <v>3522046</v>
      </c>
      <c r="CK49" s="404">
        <v>639770</v>
      </c>
      <c r="CL49" s="404">
        <v>0</v>
      </c>
      <c r="CM49" s="404">
        <v>297725</v>
      </c>
      <c r="CN49" s="404">
        <v>3055861</v>
      </c>
      <c r="CO49" s="404">
        <v>2734780</v>
      </c>
      <c r="CP49" s="404">
        <v>1654546</v>
      </c>
      <c r="CQ49" s="404">
        <v>0</v>
      </c>
      <c r="CR49" s="404">
        <v>0</v>
      </c>
    </row>
    <row r="50" spans="1:96" s="404" customFormat="1" x14ac:dyDescent="0.3">
      <c r="A50" s="404">
        <v>88</v>
      </c>
      <c r="B50" s="405">
        <v>88</v>
      </c>
      <c r="C50" s="404">
        <v>88</v>
      </c>
      <c r="D50" s="404" t="s">
        <v>226</v>
      </c>
      <c r="E50" s="404" t="s">
        <v>353</v>
      </c>
      <c r="F50" s="404">
        <v>0</v>
      </c>
      <c r="G50" s="404">
        <v>0</v>
      </c>
      <c r="H50" s="404">
        <v>418179</v>
      </c>
      <c r="I50" s="404">
        <v>2442472</v>
      </c>
      <c r="J50" s="404">
        <v>809668</v>
      </c>
      <c r="K50" s="404">
        <v>260051</v>
      </c>
      <c r="L50" s="404">
        <v>11380292</v>
      </c>
      <c r="M50" s="404">
        <v>489828</v>
      </c>
      <c r="N50" s="404">
        <v>0</v>
      </c>
      <c r="O50" s="404">
        <v>379107</v>
      </c>
      <c r="P50" s="404">
        <v>600065</v>
      </c>
      <c r="Q50" s="404">
        <v>0</v>
      </c>
      <c r="R50" s="404">
        <v>283665</v>
      </c>
      <c r="S50" s="404">
        <v>0</v>
      </c>
      <c r="T50" s="404">
        <v>0</v>
      </c>
      <c r="U50" s="404">
        <v>0</v>
      </c>
      <c r="V50" s="404">
        <v>4354752</v>
      </c>
      <c r="W50" s="404">
        <v>0</v>
      </c>
      <c r="X50" s="404">
        <v>1112164</v>
      </c>
      <c r="Y50" s="404">
        <v>0</v>
      </c>
      <c r="Z50" s="404">
        <v>1399767</v>
      </c>
      <c r="AA50" s="404">
        <v>0</v>
      </c>
      <c r="AB50" s="404">
        <v>4186824</v>
      </c>
      <c r="AC50" s="404">
        <v>2381124</v>
      </c>
      <c r="AD50" s="404">
        <v>227817</v>
      </c>
      <c r="AE50" s="404">
        <v>235468</v>
      </c>
      <c r="AF50" s="404">
        <v>11933145</v>
      </c>
      <c r="AG50" s="404">
        <v>0</v>
      </c>
      <c r="AH50" s="404">
        <v>706584</v>
      </c>
      <c r="AI50" s="404">
        <v>0</v>
      </c>
      <c r="AJ50" s="404">
        <v>145496</v>
      </c>
      <c r="AK50" s="404">
        <v>795488</v>
      </c>
      <c r="AL50" s="404">
        <v>2959292</v>
      </c>
      <c r="AM50" s="404">
        <v>1517379</v>
      </c>
      <c r="AN50" s="404">
        <v>1541794</v>
      </c>
      <c r="AO50" s="404">
        <v>47821</v>
      </c>
      <c r="AP50" s="404">
        <v>0</v>
      </c>
      <c r="AQ50" s="404">
        <v>4429353</v>
      </c>
      <c r="AR50" s="404">
        <v>0</v>
      </c>
      <c r="AS50" s="404">
        <v>0</v>
      </c>
      <c r="AT50" s="404">
        <v>0</v>
      </c>
      <c r="AU50" s="404">
        <v>0</v>
      </c>
      <c r="AV50" s="404">
        <v>0</v>
      </c>
      <c r="AW50" s="404">
        <v>93409</v>
      </c>
      <c r="AX50" s="404">
        <v>2829537</v>
      </c>
      <c r="AY50" s="404">
        <v>235350</v>
      </c>
      <c r="AZ50" s="404">
        <v>0</v>
      </c>
      <c r="BA50" s="404">
        <v>0</v>
      </c>
      <c r="BB50" s="404">
        <v>3101910</v>
      </c>
      <c r="BC50" s="404">
        <v>0</v>
      </c>
      <c r="BD50" s="404">
        <v>854593</v>
      </c>
      <c r="BE50" s="404">
        <v>366644</v>
      </c>
      <c r="BF50" s="404">
        <v>183975</v>
      </c>
      <c r="BG50" s="404">
        <v>1066717</v>
      </c>
      <c r="BH50" s="404">
        <v>1499502</v>
      </c>
      <c r="BI50" s="404">
        <v>6325806</v>
      </c>
      <c r="BJ50" s="404">
        <v>0</v>
      </c>
      <c r="BK50" s="404">
        <v>0</v>
      </c>
      <c r="BL50" s="404">
        <v>0</v>
      </c>
      <c r="BM50" s="404">
        <v>6273415</v>
      </c>
      <c r="BN50" s="404">
        <v>2003994</v>
      </c>
      <c r="BO50" s="404">
        <v>0</v>
      </c>
      <c r="BP50" s="404">
        <v>0</v>
      </c>
      <c r="BQ50" s="404">
        <v>1784570</v>
      </c>
      <c r="BR50" s="404">
        <v>0</v>
      </c>
      <c r="BS50" s="404">
        <v>0</v>
      </c>
      <c r="BT50" s="404">
        <v>0</v>
      </c>
      <c r="BU50" s="404">
        <v>1003517</v>
      </c>
      <c r="BV50" s="404">
        <v>0</v>
      </c>
      <c r="BW50" s="404">
        <v>0</v>
      </c>
      <c r="BX50" s="404">
        <v>1384834</v>
      </c>
      <c r="BY50" s="404">
        <v>2619471</v>
      </c>
      <c r="BZ50" s="404">
        <v>21424</v>
      </c>
      <c r="CA50" s="404">
        <v>0</v>
      </c>
      <c r="CB50" s="404">
        <v>3963945</v>
      </c>
      <c r="CC50" s="404">
        <v>0</v>
      </c>
      <c r="CD50" s="404">
        <v>27224244</v>
      </c>
      <c r="CE50" s="404">
        <v>130707</v>
      </c>
      <c r="CF50" s="404">
        <v>1032966</v>
      </c>
      <c r="CG50" s="404">
        <v>211064</v>
      </c>
      <c r="CH50" s="404">
        <v>1978775</v>
      </c>
      <c r="CI50" s="404">
        <v>112021515</v>
      </c>
      <c r="CJ50" s="404">
        <v>3674962</v>
      </c>
      <c r="CK50" s="404">
        <v>538907</v>
      </c>
      <c r="CL50" s="404">
        <v>0</v>
      </c>
      <c r="CM50" s="404">
        <v>269089</v>
      </c>
      <c r="CN50" s="404">
        <v>3385243</v>
      </c>
      <c r="CO50" s="404">
        <v>2331884</v>
      </c>
      <c r="CP50" s="404">
        <v>1699110</v>
      </c>
      <c r="CQ50" s="404">
        <v>0</v>
      </c>
      <c r="CR50" s="404">
        <v>0</v>
      </c>
    </row>
    <row r="51" spans="1:96" s="404" customFormat="1" x14ac:dyDescent="0.3">
      <c r="A51" s="404">
        <v>89</v>
      </c>
      <c r="B51" s="405">
        <v>89</v>
      </c>
      <c r="C51" s="404">
        <v>89</v>
      </c>
      <c r="D51" s="404" t="s">
        <v>230</v>
      </c>
      <c r="E51" s="404" t="s">
        <v>354</v>
      </c>
      <c r="F51" s="404">
        <v>0</v>
      </c>
      <c r="G51" s="404">
        <v>0</v>
      </c>
      <c r="H51" s="404">
        <v>0</v>
      </c>
      <c r="I51" s="404">
        <v>67918</v>
      </c>
      <c r="J51" s="404">
        <v>72580</v>
      </c>
      <c r="K51" s="404">
        <v>0</v>
      </c>
      <c r="L51" s="404">
        <v>471427</v>
      </c>
      <c r="M51" s="404">
        <v>34343</v>
      </c>
      <c r="N51" s="404">
        <v>0</v>
      </c>
      <c r="O51" s="404">
        <v>0</v>
      </c>
      <c r="P51" s="404">
        <v>26736</v>
      </c>
      <c r="Q51" s="404">
        <v>0</v>
      </c>
      <c r="R51" s="404">
        <v>15728</v>
      </c>
      <c r="S51" s="404">
        <v>0</v>
      </c>
      <c r="T51" s="404">
        <v>0</v>
      </c>
      <c r="U51" s="404">
        <v>0</v>
      </c>
      <c r="V51" s="404">
        <v>276362</v>
      </c>
      <c r="W51" s="404">
        <v>0</v>
      </c>
      <c r="X51" s="404">
        <v>0</v>
      </c>
      <c r="Y51" s="404">
        <v>0</v>
      </c>
      <c r="Z51" s="404">
        <v>35701</v>
      </c>
      <c r="AA51" s="404">
        <v>0</v>
      </c>
      <c r="AB51" s="404">
        <v>0</v>
      </c>
      <c r="AC51" s="404">
        <v>17189</v>
      </c>
      <c r="AD51" s="404">
        <v>0</v>
      </c>
      <c r="AE51" s="404">
        <v>4030</v>
      </c>
      <c r="AF51" s="404">
        <v>750420</v>
      </c>
      <c r="AG51" s="404">
        <v>0</v>
      </c>
      <c r="AH51" s="404">
        <v>18463</v>
      </c>
      <c r="AI51" s="404">
        <v>0</v>
      </c>
      <c r="AJ51" s="404">
        <v>0</v>
      </c>
      <c r="AK51" s="404">
        <v>444685</v>
      </c>
      <c r="AL51" s="404">
        <v>30862</v>
      </c>
      <c r="AM51" s="404">
        <v>21570</v>
      </c>
      <c r="AN51" s="404">
        <v>70529</v>
      </c>
      <c r="AO51" s="404">
        <v>0</v>
      </c>
      <c r="AP51" s="404">
        <v>0</v>
      </c>
      <c r="AQ51" s="404">
        <v>69830</v>
      </c>
      <c r="AR51" s="404">
        <v>0</v>
      </c>
      <c r="AS51" s="404">
        <v>0</v>
      </c>
      <c r="AT51" s="404">
        <v>0</v>
      </c>
      <c r="AU51" s="404">
        <v>0</v>
      </c>
      <c r="AV51" s="404">
        <v>0</v>
      </c>
      <c r="AW51" s="404">
        <v>4072</v>
      </c>
      <c r="AX51" s="404">
        <v>4997</v>
      </c>
      <c r="AY51" s="404">
        <v>0</v>
      </c>
      <c r="AZ51" s="404">
        <v>0</v>
      </c>
      <c r="BA51" s="404">
        <v>0</v>
      </c>
      <c r="BB51" s="404">
        <v>137868</v>
      </c>
      <c r="BC51" s="404">
        <v>0</v>
      </c>
      <c r="BD51" s="404">
        <v>14826</v>
      </c>
      <c r="BE51" s="404">
        <v>11050</v>
      </c>
      <c r="BF51" s="404">
        <v>0</v>
      </c>
      <c r="BG51" s="404">
        <v>0</v>
      </c>
      <c r="BH51" s="404">
        <v>34683</v>
      </c>
      <c r="BI51" s="404">
        <v>18618</v>
      </c>
      <c r="BJ51" s="404">
        <v>0</v>
      </c>
      <c r="BK51" s="404">
        <v>0</v>
      </c>
      <c r="BL51" s="404">
        <v>0</v>
      </c>
      <c r="BM51" s="404">
        <v>9574</v>
      </c>
      <c r="BN51" s="404">
        <v>55140</v>
      </c>
      <c r="BO51" s="404">
        <v>0</v>
      </c>
      <c r="BP51" s="404">
        <v>0</v>
      </c>
      <c r="BQ51" s="404">
        <v>0</v>
      </c>
      <c r="BR51" s="404">
        <v>0</v>
      </c>
      <c r="BS51" s="404">
        <v>0</v>
      </c>
      <c r="BT51" s="404">
        <v>0</v>
      </c>
      <c r="BU51" s="404">
        <v>21644</v>
      </c>
      <c r="BV51" s="404">
        <v>0</v>
      </c>
      <c r="BW51" s="404">
        <v>0</v>
      </c>
      <c r="BX51" s="404">
        <v>13818</v>
      </c>
      <c r="BY51" s="404">
        <v>28852</v>
      </c>
      <c r="BZ51" s="404">
        <v>0</v>
      </c>
      <c r="CA51" s="404">
        <v>0</v>
      </c>
      <c r="CB51" s="404">
        <v>150723</v>
      </c>
      <c r="CC51" s="404">
        <v>0</v>
      </c>
      <c r="CD51" s="404">
        <v>459749</v>
      </c>
      <c r="CE51" s="404">
        <v>93144</v>
      </c>
      <c r="CF51" s="404">
        <v>0</v>
      </c>
      <c r="CG51" s="404">
        <v>18786</v>
      </c>
      <c r="CH51" s="404">
        <v>98775</v>
      </c>
      <c r="CI51" s="404">
        <v>20020237</v>
      </c>
      <c r="CJ51" s="404">
        <v>120850</v>
      </c>
      <c r="CK51" s="404">
        <v>4538</v>
      </c>
      <c r="CL51" s="404">
        <v>0</v>
      </c>
      <c r="CM51" s="404">
        <v>0</v>
      </c>
      <c r="CN51" s="404">
        <v>0</v>
      </c>
      <c r="CO51" s="404">
        <v>0</v>
      </c>
      <c r="CP51" s="404">
        <v>83786</v>
      </c>
      <c r="CQ51" s="404">
        <v>0</v>
      </c>
      <c r="CR51" s="404">
        <v>0</v>
      </c>
    </row>
    <row r="52" spans="1:96" s="404" customFormat="1" x14ac:dyDescent="0.3">
      <c r="A52" s="404">
        <v>90</v>
      </c>
      <c r="B52" s="405">
        <v>90</v>
      </c>
      <c r="C52" s="404">
        <v>90</v>
      </c>
      <c r="D52" s="404" t="s">
        <v>223</v>
      </c>
      <c r="E52" s="404" t="s">
        <v>355</v>
      </c>
      <c r="F52" s="404">
        <v>0</v>
      </c>
      <c r="G52" s="404">
        <v>0</v>
      </c>
      <c r="H52" s="404">
        <v>0</v>
      </c>
      <c r="I52" s="404">
        <v>0</v>
      </c>
      <c r="J52" s="404">
        <v>3556645</v>
      </c>
      <c r="K52" s="404">
        <v>0</v>
      </c>
      <c r="L52" s="404">
        <v>31089002</v>
      </c>
      <c r="M52" s="404">
        <v>0</v>
      </c>
      <c r="N52" s="404">
        <v>0</v>
      </c>
      <c r="O52" s="404">
        <v>0</v>
      </c>
      <c r="P52" s="404">
        <v>0</v>
      </c>
      <c r="Q52" s="404">
        <v>0</v>
      </c>
      <c r="R52" s="404">
        <v>0</v>
      </c>
      <c r="S52" s="404">
        <v>0</v>
      </c>
      <c r="T52" s="404">
        <v>0</v>
      </c>
      <c r="U52" s="404">
        <v>0</v>
      </c>
      <c r="V52" s="404">
        <v>0</v>
      </c>
      <c r="W52" s="404">
        <v>0</v>
      </c>
      <c r="X52" s="404">
        <v>0</v>
      </c>
      <c r="Y52" s="404">
        <v>0</v>
      </c>
      <c r="Z52" s="404">
        <v>0</v>
      </c>
      <c r="AA52" s="404">
        <v>0</v>
      </c>
      <c r="AB52" s="404">
        <v>11780411</v>
      </c>
      <c r="AC52" s="404">
        <v>0</v>
      </c>
      <c r="AD52" s="404">
        <v>0</v>
      </c>
      <c r="AE52" s="404">
        <v>0</v>
      </c>
      <c r="AF52" s="404">
        <v>0</v>
      </c>
      <c r="AG52" s="404">
        <v>0</v>
      </c>
      <c r="AH52" s="404">
        <v>0</v>
      </c>
      <c r="AI52" s="404">
        <v>0</v>
      </c>
      <c r="AJ52" s="404">
        <v>0</v>
      </c>
      <c r="AK52" s="404">
        <v>0</v>
      </c>
      <c r="AL52" s="404">
        <v>0</v>
      </c>
      <c r="AM52" s="404">
        <v>0</v>
      </c>
      <c r="AN52" s="404">
        <v>0</v>
      </c>
      <c r="AO52" s="404">
        <v>0</v>
      </c>
      <c r="AP52" s="404">
        <v>0</v>
      </c>
      <c r="AQ52" s="404">
        <v>0</v>
      </c>
      <c r="AR52" s="404">
        <v>0</v>
      </c>
      <c r="AS52" s="404">
        <v>0</v>
      </c>
      <c r="AT52" s="404">
        <v>0</v>
      </c>
      <c r="AU52" s="404">
        <v>0</v>
      </c>
      <c r="AV52" s="404">
        <v>0</v>
      </c>
      <c r="AW52" s="404">
        <v>0</v>
      </c>
      <c r="AX52" s="404">
        <v>0</v>
      </c>
      <c r="AY52" s="404">
        <v>0</v>
      </c>
      <c r="AZ52" s="404">
        <v>884604</v>
      </c>
      <c r="BA52" s="404">
        <v>0</v>
      </c>
      <c r="BB52" s="404">
        <v>0</v>
      </c>
      <c r="BC52" s="404">
        <v>0</v>
      </c>
      <c r="BD52" s="404">
        <v>0</v>
      </c>
      <c r="BE52" s="404">
        <v>0</v>
      </c>
      <c r="BF52" s="404">
        <v>299900</v>
      </c>
      <c r="BG52" s="404">
        <v>0</v>
      </c>
      <c r="BH52" s="404">
        <v>0</v>
      </c>
      <c r="BI52" s="404">
        <v>14764195</v>
      </c>
      <c r="BJ52" s="404">
        <v>0</v>
      </c>
      <c r="BK52" s="404">
        <v>0</v>
      </c>
      <c r="BL52" s="404">
        <v>0</v>
      </c>
      <c r="BM52" s="404">
        <v>2067898</v>
      </c>
      <c r="BN52" s="404">
        <v>0</v>
      </c>
      <c r="BO52" s="404">
        <v>0</v>
      </c>
      <c r="BP52" s="404">
        <v>0</v>
      </c>
      <c r="BQ52" s="404">
        <v>0</v>
      </c>
      <c r="BR52" s="404">
        <v>0</v>
      </c>
      <c r="BS52" s="404">
        <v>0</v>
      </c>
      <c r="BT52" s="404">
        <v>0</v>
      </c>
      <c r="BU52" s="404">
        <v>0</v>
      </c>
      <c r="BV52" s="404">
        <v>0</v>
      </c>
      <c r="BW52" s="404">
        <v>0</v>
      </c>
      <c r="BX52" s="404">
        <v>0</v>
      </c>
      <c r="BY52" s="404">
        <v>0</v>
      </c>
      <c r="BZ52" s="404">
        <v>0</v>
      </c>
      <c r="CA52" s="404">
        <v>0</v>
      </c>
      <c r="CB52" s="404">
        <v>0</v>
      </c>
      <c r="CC52" s="404">
        <v>0</v>
      </c>
      <c r="CD52" s="404">
        <v>34997735</v>
      </c>
      <c r="CE52" s="404">
        <v>0</v>
      </c>
      <c r="CF52" s="404">
        <v>2949741</v>
      </c>
      <c r="CG52" s="404">
        <v>0</v>
      </c>
      <c r="CH52" s="404">
        <v>0</v>
      </c>
      <c r="CI52" s="404">
        <v>0</v>
      </c>
      <c r="CJ52" s="404">
        <v>3408417</v>
      </c>
      <c r="CK52" s="404">
        <v>0</v>
      </c>
      <c r="CL52" s="404">
        <v>0</v>
      </c>
      <c r="CM52" s="404">
        <v>0</v>
      </c>
      <c r="CN52" s="404">
        <v>0</v>
      </c>
      <c r="CO52" s="404">
        <v>0</v>
      </c>
      <c r="CP52" s="404">
        <v>0</v>
      </c>
      <c r="CQ52" s="404">
        <v>0</v>
      </c>
      <c r="CR52" s="404">
        <v>0</v>
      </c>
    </row>
    <row r="53" spans="1:96" s="404" customFormat="1" x14ac:dyDescent="0.3">
      <c r="A53" s="404">
        <v>91</v>
      </c>
      <c r="B53" s="405">
        <v>91</v>
      </c>
      <c r="C53" s="404">
        <v>91</v>
      </c>
      <c r="D53" s="404" t="s">
        <v>224</v>
      </c>
      <c r="E53" s="404" t="s">
        <v>356</v>
      </c>
      <c r="F53" s="404">
        <v>0</v>
      </c>
      <c r="G53" s="404">
        <v>0</v>
      </c>
      <c r="H53" s="404">
        <v>0</v>
      </c>
      <c r="I53" s="404">
        <v>0</v>
      </c>
      <c r="J53" s="404">
        <v>91108</v>
      </c>
      <c r="K53" s="404">
        <v>0</v>
      </c>
      <c r="L53" s="404">
        <v>7391392</v>
      </c>
      <c r="M53" s="404">
        <v>0</v>
      </c>
      <c r="N53" s="404">
        <v>0</v>
      </c>
      <c r="O53" s="404">
        <v>0</v>
      </c>
      <c r="P53" s="404">
        <v>0</v>
      </c>
      <c r="Q53" s="404">
        <v>0</v>
      </c>
      <c r="R53" s="404">
        <v>0</v>
      </c>
      <c r="S53" s="404">
        <v>0</v>
      </c>
      <c r="T53" s="404">
        <v>0</v>
      </c>
      <c r="U53" s="404">
        <v>0</v>
      </c>
      <c r="V53" s="404">
        <v>0</v>
      </c>
      <c r="W53" s="404">
        <v>0</v>
      </c>
      <c r="X53" s="404">
        <v>0</v>
      </c>
      <c r="Y53" s="404">
        <v>0</v>
      </c>
      <c r="Z53" s="404">
        <v>0</v>
      </c>
      <c r="AA53" s="404">
        <v>0</v>
      </c>
      <c r="AB53" s="404">
        <v>2530605</v>
      </c>
      <c r="AC53" s="404">
        <v>0</v>
      </c>
      <c r="AD53" s="404">
        <v>0</v>
      </c>
      <c r="AE53" s="404">
        <v>0</v>
      </c>
      <c r="AF53" s="404">
        <v>0</v>
      </c>
      <c r="AG53" s="404">
        <v>0</v>
      </c>
      <c r="AH53" s="404">
        <v>0</v>
      </c>
      <c r="AI53" s="404">
        <v>0</v>
      </c>
      <c r="AJ53" s="404">
        <v>0</v>
      </c>
      <c r="AK53" s="404">
        <v>0</v>
      </c>
      <c r="AL53" s="404">
        <v>0</v>
      </c>
      <c r="AM53" s="404">
        <v>0</v>
      </c>
      <c r="AN53" s="404">
        <v>0</v>
      </c>
      <c r="AO53" s="404">
        <v>0</v>
      </c>
      <c r="AP53" s="404">
        <v>0</v>
      </c>
      <c r="AQ53" s="404">
        <v>0</v>
      </c>
      <c r="AR53" s="404">
        <v>0</v>
      </c>
      <c r="AS53" s="404">
        <v>0</v>
      </c>
      <c r="AT53" s="404">
        <v>0</v>
      </c>
      <c r="AU53" s="404">
        <v>0</v>
      </c>
      <c r="AV53" s="404">
        <v>0</v>
      </c>
      <c r="AW53" s="404">
        <v>0</v>
      </c>
      <c r="AX53" s="404">
        <v>0</v>
      </c>
      <c r="AY53" s="404">
        <v>0</v>
      </c>
      <c r="AZ53" s="404">
        <v>2398951</v>
      </c>
      <c r="BA53" s="404">
        <v>0</v>
      </c>
      <c r="BB53" s="404">
        <v>0</v>
      </c>
      <c r="BC53" s="404">
        <v>0</v>
      </c>
      <c r="BD53" s="404">
        <v>0</v>
      </c>
      <c r="BE53" s="404">
        <v>0</v>
      </c>
      <c r="BF53" s="404">
        <v>26736</v>
      </c>
      <c r="BG53" s="404">
        <v>0</v>
      </c>
      <c r="BH53" s="404">
        <v>0</v>
      </c>
      <c r="BI53" s="404">
        <v>3938461</v>
      </c>
      <c r="BJ53" s="404">
        <v>0</v>
      </c>
      <c r="BK53" s="404">
        <v>0</v>
      </c>
      <c r="BL53" s="404">
        <v>0</v>
      </c>
      <c r="BM53" s="404">
        <v>1190912</v>
      </c>
      <c r="BN53" s="404">
        <v>0</v>
      </c>
      <c r="BO53" s="404">
        <v>0</v>
      </c>
      <c r="BP53" s="404">
        <v>0</v>
      </c>
      <c r="BQ53" s="404">
        <v>0</v>
      </c>
      <c r="BR53" s="404">
        <v>0</v>
      </c>
      <c r="BS53" s="404">
        <v>0</v>
      </c>
      <c r="BT53" s="404">
        <v>0</v>
      </c>
      <c r="BU53" s="404">
        <v>0</v>
      </c>
      <c r="BV53" s="404">
        <v>0</v>
      </c>
      <c r="BW53" s="404">
        <v>0</v>
      </c>
      <c r="BX53" s="404">
        <v>0</v>
      </c>
      <c r="BY53" s="404">
        <v>0</v>
      </c>
      <c r="BZ53" s="404">
        <v>0</v>
      </c>
      <c r="CA53" s="404">
        <v>0</v>
      </c>
      <c r="CB53" s="404">
        <v>0</v>
      </c>
      <c r="CC53" s="404">
        <v>0</v>
      </c>
      <c r="CD53" s="404">
        <v>13762284</v>
      </c>
      <c r="CE53" s="404">
        <v>0</v>
      </c>
      <c r="CF53" s="404">
        <v>605907</v>
      </c>
      <c r="CG53" s="404">
        <v>0</v>
      </c>
      <c r="CH53" s="404">
        <v>0</v>
      </c>
      <c r="CI53" s="404">
        <v>0</v>
      </c>
      <c r="CJ53" s="404">
        <v>833710</v>
      </c>
      <c r="CK53" s="404">
        <v>0</v>
      </c>
      <c r="CL53" s="404">
        <v>0</v>
      </c>
      <c r="CM53" s="404">
        <v>0</v>
      </c>
      <c r="CN53" s="404">
        <v>0</v>
      </c>
      <c r="CO53" s="404">
        <v>0</v>
      </c>
      <c r="CP53" s="404">
        <v>0</v>
      </c>
      <c r="CQ53" s="404">
        <v>0</v>
      </c>
      <c r="CR53" s="404">
        <v>0</v>
      </c>
    </row>
    <row r="54" spans="1:96" s="404" customFormat="1" x14ac:dyDescent="0.3">
      <c r="A54" s="404">
        <v>92</v>
      </c>
      <c r="B54" s="405"/>
      <c r="C54" s="404">
        <v>92</v>
      </c>
      <c r="D54" s="404" t="s">
        <v>631</v>
      </c>
      <c r="E54" s="404" t="s">
        <v>357</v>
      </c>
    </row>
    <row r="55" spans="1:96" s="404" customFormat="1" x14ac:dyDescent="0.3">
      <c r="A55" s="404">
        <v>93</v>
      </c>
      <c r="B55" s="405">
        <v>93</v>
      </c>
      <c r="C55" s="404">
        <v>93</v>
      </c>
      <c r="D55" s="404" t="s">
        <v>237</v>
      </c>
      <c r="E55" s="404" t="s">
        <v>358</v>
      </c>
      <c r="F55" s="404">
        <v>0</v>
      </c>
      <c r="G55" s="404">
        <v>0</v>
      </c>
      <c r="H55" s="404">
        <v>0</v>
      </c>
      <c r="I55" s="404">
        <v>0</v>
      </c>
      <c r="J55" s="404">
        <v>2286709</v>
      </c>
      <c r="K55" s="404">
        <v>0</v>
      </c>
      <c r="L55" s="404">
        <v>45485850</v>
      </c>
      <c r="M55" s="404">
        <v>0</v>
      </c>
      <c r="N55" s="404">
        <v>0</v>
      </c>
      <c r="O55" s="404">
        <v>0</v>
      </c>
      <c r="P55" s="404">
        <v>0</v>
      </c>
      <c r="Q55" s="404">
        <v>0</v>
      </c>
      <c r="R55" s="404">
        <v>0</v>
      </c>
      <c r="S55" s="404">
        <v>0</v>
      </c>
      <c r="T55" s="404">
        <v>0</v>
      </c>
      <c r="U55" s="404">
        <v>0</v>
      </c>
      <c r="V55" s="404">
        <v>0</v>
      </c>
      <c r="W55" s="404">
        <v>0</v>
      </c>
      <c r="X55" s="404">
        <v>0</v>
      </c>
      <c r="Y55" s="404">
        <v>0</v>
      </c>
      <c r="Z55" s="404">
        <v>0</v>
      </c>
      <c r="AA55" s="404">
        <v>0</v>
      </c>
      <c r="AB55" s="404">
        <v>21906949</v>
      </c>
      <c r="AC55" s="404">
        <v>0</v>
      </c>
      <c r="AD55" s="404">
        <v>0</v>
      </c>
      <c r="AE55" s="404">
        <v>0</v>
      </c>
      <c r="AF55" s="404">
        <v>0</v>
      </c>
      <c r="AG55" s="404">
        <v>0</v>
      </c>
      <c r="AH55" s="404">
        <v>0</v>
      </c>
      <c r="AI55" s="404">
        <v>0</v>
      </c>
      <c r="AJ55" s="404">
        <v>0</v>
      </c>
      <c r="AK55" s="404">
        <v>0</v>
      </c>
      <c r="AL55" s="404">
        <v>0</v>
      </c>
      <c r="AM55" s="404">
        <v>0</v>
      </c>
      <c r="AN55" s="404">
        <v>0</v>
      </c>
      <c r="AO55" s="404">
        <v>0</v>
      </c>
      <c r="AP55" s="404">
        <v>0</v>
      </c>
      <c r="AQ55" s="404">
        <v>0</v>
      </c>
      <c r="AR55" s="404">
        <v>0</v>
      </c>
      <c r="AS55" s="404">
        <v>0</v>
      </c>
      <c r="AT55" s="404">
        <v>0</v>
      </c>
      <c r="AU55" s="404">
        <v>0</v>
      </c>
      <c r="AV55" s="404">
        <v>0</v>
      </c>
      <c r="AW55" s="404">
        <v>0</v>
      </c>
      <c r="AX55" s="404">
        <v>0</v>
      </c>
      <c r="AY55" s="404">
        <v>0</v>
      </c>
      <c r="AZ55" s="404">
        <v>20522258</v>
      </c>
      <c r="BA55" s="404">
        <v>0</v>
      </c>
      <c r="BB55" s="404">
        <v>0</v>
      </c>
      <c r="BC55" s="404">
        <v>0</v>
      </c>
      <c r="BD55" s="404">
        <v>0</v>
      </c>
      <c r="BE55" s="404">
        <v>0</v>
      </c>
      <c r="BF55" s="404">
        <v>243592</v>
      </c>
      <c r="BG55" s="404">
        <v>0</v>
      </c>
      <c r="BH55" s="404">
        <v>0</v>
      </c>
      <c r="BI55" s="404">
        <v>31993355</v>
      </c>
      <c r="BJ55" s="404">
        <v>0</v>
      </c>
      <c r="BK55" s="404">
        <v>0</v>
      </c>
      <c r="BL55" s="404">
        <v>0</v>
      </c>
      <c r="BM55" s="404">
        <v>8917002</v>
      </c>
      <c r="BN55" s="404">
        <v>0</v>
      </c>
      <c r="BO55" s="404">
        <v>0</v>
      </c>
      <c r="BP55" s="404">
        <v>0</v>
      </c>
      <c r="BQ55" s="404">
        <v>0</v>
      </c>
      <c r="BR55" s="404">
        <v>0</v>
      </c>
      <c r="BS55" s="404">
        <v>0</v>
      </c>
      <c r="BT55" s="404">
        <v>0</v>
      </c>
      <c r="BU55" s="404">
        <v>0</v>
      </c>
      <c r="BV55" s="404">
        <v>0</v>
      </c>
      <c r="BW55" s="404">
        <v>0</v>
      </c>
      <c r="BX55" s="404">
        <v>0</v>
      </c>
      <c r="BY55" s="404">
        <v>0</v>
      </c>
      <c r="BZ55" s="404">
        <v>0</v>
      </c>
      <c r="CA55" s="404">
        <v>0</v>
      </c>
      <c r="CB55" s="404">
        <v>0</v>
      </c>
      <c r="CC55" s="404">
        <v>0</v>
      </c>
      <c r="CD55" s="404">
        <v>121662774</v>
      </c>
      <c r="CE55" s="404">
        <v>0</v>
      </c>
      <c r="CF55" s="404">
        <v>5014696</v>
      </c>
      <c r="CG55" s="404">
        <v>0</v>
      </c>
      <c r="CH55" s="404">
        <v>0</v>
      </c>
      <c r="CI55" s="404">
        <v>0</v>
      </c>
      <c r="CJ55" s="404">
        <v>6572224</v>
      </c>
      <c r="CK55" s="404">
        <v>0</v>
      </c>
      <c r="CL55" s="404">
        <v>0</v>
      </c>
      <c r="CM55" s="404">
        <v>0</v>
      </c>
      <c r="CN55" s="404">
        <v>0</v>
      </c>
      <c r="CO55" s="404">
        <v>0</v>
      </c>
      <c r="CP55" s="404">
        <v>0</v>
      </c>
      <c r="CQ55" s="404">
        <v>0</v>
      </c>
      <c r="CR55" s="404">
        <v>0</v>
      </c>
    </row>
    <row r="56" spans="1:96" s="404" customFormat="1" x14ac:dyDescent="0.3">
      <c r="A56" s="404">
        <v>94</v>
      </c>
      <c r="B56" s="405">
        <v>94</v>
      </c>
      <c r="C56" s="404">
        <v>94</v>
      </c>
      <c r="D56" s="404" t="s">
        <v>240</v>
      </c>
      <c r="E56" s="404" t="s">
        <v>359</v>
      </c>
      <c r="F56" s="404">
        <v>0</v>
      </c>
      <c r="G56" s="404">
        <v>0</v>
      </c>
      <c r="H56" s="404">
        <v>0</v>
      </c>
      <c r="I56" s="404">
        <v>0</v>
      </c>
      <c r="J56" s="404">
        <v>1691578</v>
      </c>
      <c r="K56" s="404">
        <v>0</v>
      </c>
      <c r="L56" s="404">
        <v>41160264</v>
      </c>
      <c r="M56" s="404">
        <v>0</v>
      </c>
      <c r="N56" s="404">
        <v>0</v>
      </c>
      <c r="O56" s="404">
        <v>0</v>
      </c>
      <c r="P56" s="404">
        <v>0</v>
      </c>
      <c r="Q56" s="404">
        <v>0</v>
      </c>
      <c r="R56" s="404">
        <v>0</v>
      </c>
      <c r="S56" s="404">
        <v>0</v>
      </c>
      <c r="T56" s="404">
        <v>0</v>
      </c>
      <c r="U56" s="404">
        <v>0</v>
      </c>
      <c r="V56" s="404">
        <v>0</v>
      </c>
      <c r="W56" s="404">
        <v>0</v>
      </c>
      <c r="X56" s="404">
        <v>0</v>
      </c>
      <c r="Y56" s="404">
        <v>0</v>
      </c>
      <c r="Z56" s="404">
        <v>0</v>
      </c>
      <c r="AA56" s="404">
        <v>0</v>
      </c>
      <c r="AB56" s="404">
        <v>21434881</v>
      </c>
      <c r="AC56" s="404">
        <v>0</v>
      </c>
      <c r="AD56" s="404">
        <v>0</v>
      </c>
      <c r="AE56" s="404">
        <v>0</v>
      </c>
      <c r="AF56" s="404">
        <v>0</v>
      </c>
      <c r="AG56" s="404">
        <v>0</v>
      </c>
      <c r="AH56" s="404">
        <v>0</v>
      </c>
      <c r="AI56" s="404">
        <v>0</v>
      </c>
      <c r="AJ56" s="404">
        <v>0</v>
      </c>
      <c r="AK56" s="404">
        <v>0</v>
      </c>
      <c r="AL56" s="404">
        <v>0</v>
      </c>
      <c r="AM56" s="404">
        <v>0</v>
      </c>
      <c r="AN56" s="404">
        <v>0</v>
      </c>
      <c r="AO56" s="404">
        <v>0</v>
      </c>
      <c r="AP56" s="404">
        <v>0</v>
      </c>
      <c r="AQ56" s="404">
        <v>0</v>
      </c>
      <c r="AR56" s="404">
        <v>0</v>
      </c>
      <c r="AS56" s="404">
        <v>0</v>
      </c>
      <c r="AT56" s="404">
        <v>0</v>
      </c>
      <c r="AU56" s="404">
        <v>0</v>
      </c>
      <c r="AV56" s="404">
        <v>0</v>
      </c>
      <c r="AW56" s="404">
        <v>0</v>
      </c>
      <c r="AX56" s="404">
        <v>0</v>
      </c>
      <c r="AY56" s="404">
        <v>0</v>
      </c>
      <c r="AZ56" s="404">
        <v>20192209</v>
      </c>
      <c r="BA56" s="404">
        <v>0</v>
      </c>
      <c r="BB56" s="404">
        <v>0</v>
      </c>
      <c r="BC56" s="404">
        <v>0</v>
      </c>
      <c r="BD56" s="404">
        <v>0</v>
      </c>
      <c r="BE56" s="404">
        <v>0</v>
      </c>
      <c r="BF56" s="404">
        <v>183187</v>
      </c>
      <c r="BG56" s="404">
        <v>0</v>
      </c>
      <c r="BH56" s="404">
        <v>0</v>
      </c>
      <c r="BI56" s="404">
        <v>29314658</v>
      </c>
      <c r="BJ56" s="404">
        <v>0</v>
      </c>
      <c r="BK56" s="404">
        <v>0</v>
      </c>
      <c r="BL56" s="404">
        <v>0</v>
      </c>
      <c r="BM56" s="404">
        <v>6927258</v>
      </c>
      <c r="BN56" s="404">
        <v>0</v>
      </c>
      <c r="BO56" s="404">
        <v>0</v>
      </c>
      <c r="BP56" s="404">
        <v>0</v>
      </c>
      <c r="BQ56" s="404">
        <v>0</v>
      </c>
      <c r="BR56" s="404">
        <v>0</v>
      </c>
      <c r="BS56" s="404">
        <v>0</v>
      </c>
      <c r="BT56" s="404">
        <v>0</v>
      </c>
      <c r="BU56" s="404">
        <v>0</v>
      </c>
      <c r="BV56" s="404">
        <v>0</v>
      </c>
      <c r="BW56" s="404">
        <v>0</v>
      </c>
      <c r="BX56" s="404">
        <v>0</v>
      </c>
      <c r="BY56" s="404">
        <v>0</v>
      </c>
      <c r="BZ56" s="404">
        <v>0</v>
      </c>
      <c r="CA56" s="404">
        <v>0</v>
      </c>
      <c r="CB56" s="404">
        <v>0</v>
      </c>
      <c r="CC56" s="404">
        <v>0</v>
      </c>
      <c r="CD56" s="404">
        <v>114491903</v>
      </c>
      <c r="CE56" s="404">
        <v>0</v>
      </c>
      <c r="CF56" s="404">
        <v>4134393</v>
      </c>
      <c r="CG56" s="404">
        <v>0</v>
      </c>
      <c r="CH56" s="404">
        <v>0</v>
      </c>
      <c r="CI56" s="404">
        <v>0</v>
      </c>
      <c r="CJ56" s="404">
        <v>5393433</v>
      </c>
      <c r="CK56" s="404">
        <v>0</v>
      </c>
      <c r="CL56" s="404">
        <v>0</v>
      </c>
      <c r="CM56" s="404">
        <v>0</v>
      </c>
      <c r="CN56" s="404">
        <v>0</v>
      </c>
      <c r="CO56" s="404">
        <v>0</v>
      </c>
      <c r="CP56" s="404">
        <v>0</v>
      </c>
      <c r="CQ56" s="404">
        <v>0</v>
      </c>
      <c r="CR56" s="404">
        <v>0</v>
      </c>
    </row>
    <row r="57" spans="1:96" s="404" customFormat="1" x14ac:dyDescent="0.3">
      <c r="A57" s="404">
        <v>97</v>
      </c>
      <c r="B57" s="405">
        <v>97</v>
      </c>
      <c r="C57" s="404">
        <v>97</v>
      </c>
      <c r="D57" s="404" t="s">
        <v>236</v>
      </c>
      <c r="E57" s="404" t="s">
        <v>360</v>
      </c>
      <c r="F57" s="404">
        <v>0</v>
      </c>
      <c r="G57" s="404">
        <v>0</v>
      </c>
      <c r="H57" s="404">
        <v>0</v>
      </c>
      <c r="I57" s="404">
        <v>0</v>
      </c>
      <c r="J57" s="404">
        <v>2251465</v>
      </c>
      <c r="K57" s="404">
        <v>0</v>
      </c>
      <c r="L57" s="404">
        <v>44301645</v>
      </c>
      <c r="M57" s="404">
        <v>0</v>
      </c>
      <c r="N57" s="404">
        <v>0</v>
      </c>
      <c r="O57" s="404">
        <v>0</v>
      </c>
      <c r="P57" s="404">
        <v>0</v>
      </c>
      <c r="Q57" s="404">
        <v>0</v>
      </c>
      <c r="R57" s="404">
        <v>0</v>
      </c>
      <c r="S57" s="404">
        <v>0</v>
      </c>
      <c r="T57" s="404">
        <v>0</v>
      </c>
      <c r="U57" s="404">
        <v>0</v>
      </c>
      <c r="V57" s="404">
        <v>0</v>
      </c>
      <c r="W57" s="404">
        <v>0</v>
      </c>
      <c r="X57" s="404">
        <v>0</v>
      </c>
      <c r="Y57" s="404">
        <v>0</v>
      </c>
      <c r="Z57" s="404">
        <v>0</v>
      </c>
      <c r="AA57" s="404">
        <v>0</v>
      </c>
      <c r="AB57" s="404">
        <v>21850529</v>
      </c>
      <c r="AC57" s="404">
        <v>0</v>
      </c>
      <c r="AD57" s="404">
        <v>0</v>
      </c>
      <c r="AE57" s="404">
        <v>0</v>
      </c>
      <c r="AF57" s="404">
        <v>0</v>
      </c>
      <c r="AG57" s="404">
        <v>0</v>
      </c>
      <c r="AH57" s="404">
        <v>0</v>
      </c>
      <c r="AI57" s="404">
        <v>0</v>
      </c>
      <c r="AJ57" s="404">
        <v>0</v>
      </c>
      <c r="AK57" s="404">
        <v>0</v>
      </c>
      <c r="AL57" s="404">
        <v>0</v>
      </c>
      <c r="AM57" s="404">
        <v>0</v>
      </c>
      <c r="AN57" s="404">
        <v>0</v>
      </c>
      <c r="AO57" s="404">
        <v>0</v>
      </c>
      <c r="AP57" s="404">
        <v>0</v>
      </c>
      <c r="AQ57" s="404">
        <v>0</v>
      </c>
      <c r="AR57" s="404">
        <v>0</v>
      </c>
      <c r="AS57" s="404">
        <v>0</v>
      </c>
      <c r="AT57" s="404">
        <v>0</v>
      </c>
      <c r="AU57" s="404">
        <v>0</v>
      </c>
      <c r="AV57" s="404">
        <v>0</v>
      </c>
      <c r="AW57" s="404">
        <v>0</v>
      </c>
      <c r="AX57" s="404">
        <v>0</v>
      </c>
      <c r="AY57" s="404">
        <v>0</v>
      </c>
      <c r="AZ57" s="404">
        <v>19019670</v>
      </c>
      <c r="BA57" s="404">
        <v>0</v>
      </c>
      <c r="BB57" s="404">
        <v>0</v>
      </c>
      <c r="BC57" s="404">
        <v>0</v>
      </c>
      <c r="BD57" s="404">
        <v>0</v>
      </c>
      <c r="BE57" s="404">
        <v>0</v>
      </c>
      <c r="BF57" s="404">
        <v>243592</v>
      </c>
      <c r="BG57" s="404">
        <v>0</v>
      </c>
      <c r="BH57" s="404">
        <v>0</v>
      </c>
      <c r="BI57" s="404">
        <v>31678706</v>
      </c>
      <c r="BJ57" s="404">
        <v>0</v>
      </c>
      <c r="BK57" s="404">
        <v>0</v>
      </c>
      <c r="BL57" s="404">
        <v>0</v>
      </c>
      <c r="BM57" s="404">
        <v>8917002</v>
      </c>
      <c r="BN57" s="404">
        <v>0</v>
      </c>
      <c r="BO57" s="404">
        <v>0</v>
      </c>
      <c r="BP57" s="404">
        <v>0</v>
      </c>
      <c r="BQ57" s="404">
        <v>0</v>
      </c>
      <c r="BR57" s="404">
        <v>0</v>
      </c>
      <c r="BS57" s="404">
        <v>0</v>
      </c>
      <c r="BT57" s="404">
        <v>0</v>
      </c>
      <c r="BU57" s="404">
        <v>0</v>
      </c>
      <c r="BV57" s="404">
        <v>0</v>
      </c>
      <c r="BW57" s="404">
        <v>0</v>
      </c>
      <c r="BX57" s="404">
        <v>0</v>
      </c>
      <c r="BY57" s="404">
        <v>0</v>
      </c>
      <c r="BZ57" s="404">
        <v>0</v>
      </c>
      <c r="CA57" s="404">
        <v>0</v>
      </c>
      <c r="CB57" s="404">
        <v>0</v>
      </c>
      <c r="CC57" s="404">
        <v>0</v>
      </c>
      <c r="CD57" s="404">
        <v>119881898</v>
      </c>
      <c r="CE57" s="404">
        <v>0</v>
      </c>
      <c r="CF57" s="404">
        <v>5014696</v>
      </c>
      <c r="CG57" s="404">
        <v>0</v>
      </c>
      <c r="CH57" s="404">
        <v>0</v>
      </c>
      <c r="CI57" s="404">
        <v>0</v>
      </c>
      <c r="CJ57" s="404">
        <v>6518337</v>
      </c>
      <c r="CK57" s="404">
        <v>0</v>
      </c>
      <c r="CL57" s="404">
        <v>0</v>
      </c>
      <c r="CM57" s="404">
        <v>0</v>
      </c>
      <c r="CN57" s="404">
        <v>0</v>
      </c>
      <c r="CO57" s="404">
        <v>0</v>
      </c>
      <c r="CP57" s="404">
        <v>0</v>
      </c>
      <c r="CQ57" s="404">
        <v>0</v>
      </c>
      <c r="CR57" s="404">
        <v>0</v>
      </c>
    </row>
    <row r="58" spans="1:96" s="404" customFormat="1" x14ac:dyDescent="0.3">
      <c r="A58" s="404">
        <v>98</v>
      </c>
      <c r="B58" s="405">
        <v>98</v>
      </c>
      <c r="C58" s="404">
        <v>98</v>
      </c>
      <c r="D58" s="404" t="s">
        <v>241</v>
      </c>
      <c r="E58" s="404" t="s">
        <v>361</v>
      </c>
      <c r="F58" s="404">
        <v>0</v>
      </c>
      <c r="G58" s="404">
        <v>0</v>
      </c>
      <c r="H58" s="404">
        <v>0</v>
      </c>
      <c r="I58" s="404">
        <v>0</v>
      </c>
      <c r="J58" s="404">
        <v>0</v>
      </c>
      <c r="K58" s="404">
        <v>0</v>
      </c>
      <c r="L58" s="404">
        <v>0</v>
      </c>
      <c r="M58" s="404">
        <v>0</v>
      </c>
      <c r="N58" s="404">
        <v>0</v>
      </c>
      <c r="O58" s="404">
        <v>0</v>
      </c>
      <c r="P58" s="404">
        <v>0</v>
      </c>
      <c r="Q58" s="404">
        <v>0</v>
      </c>
      <c r="R58" s="404">
        <v>0</v>
      </c>
      <c r="S58" s="404">
        <v>0</v>
      </c>
      <c r="T58" s="404">
        <v>0</v>
      </c>
      <c r="U58" s="404">
        <v>0</v>
      </c>
      <c r="V58" s="404">
        <v>0</v>
      </c>
      <c r="W58" s="404">
        <v>0</v>
      </c>
      <c r="X58" s="404">
        <v>0</v>
      </c>
      <c r="Y58" s="404">
        <v>0</v>
      </c>
      <c r="Z58" s="404">
        <v>0</v>
      </c>
      <c r="AA58" s="404">
        <v>0</v>
      </c>
      <c r="AB58" s="404">
        <v>0</v>
      </c>
      <c r="AC58" s="404">
        <v>0</v>
      </c>
      <c r="AD58" s="404">
        <v>0</v>
      </c>
      <c r="AE58" s="404">
        <v>0</v>
      </c>
      <c r="AF58" s="404">
        <v>0</v>
      </c>
      <c r="AG58" s="404">
        <v>0</v>
      </c>
      <c r="AH58" s="404">
        <v>0</v>
      </c>
      <c r="AI58" s="404">
        <v>0</v>
      </c>
      <c r="AJ58" s="404">
        <v>0</v>
      </c>
      <c r="AK58" s="404">
        <v>0</v>
      </c>
      <c r="AL58" s="404">
        <v>0</v>
      </c>
      <c r="AM58" s="404">
        <v>0</v>
      </c>
      <c r="AN58" s="404">
        <v>0</v>
      </c>
      <c r="AO58" s="404">
        <v>0</v>
      </c>
      <c r="AP58" s="404">
        <v>0</v>
      </c>
      <c r="AQ58" s="404">
        <v>0</v>
      </c>
      <c r="AR58" s="404">
        <v>0</v>
      </c>
      <c r="AS58" s="404">
        <v>0</v>
      </c>
      <c r="AT58" s="404">
        <v>0</v>
      </c>
      <c r="AU58" s="404">
        <v>0</v>
      </c>
      <c r="AV58" s="404">
        <v>0</v>
      </c>
      <c r="AW58" s="404">
        <v>0</v>
      </c>
      <c r="AX58" s="404">
        <v>0</v>
      </c>
      <c r="AY58" s="404">
        <v>0</v>
      </c>
      <c r="AZ58" s="404">
        <v>125086</v>
      </c>
      <c r="BA58" s="404">
        <v>0</v>
      </c>
      <c r="BB58" s="404">
        <v>0</v>
      </c>
      <c r="BC58" s="404">
        <v>0</v>
      </c>
      <c r="BD58" s="404">
        <v>0</v>
      </c>
      <c r="BE58" s="404">
        <v>0</v>
      </c>
      <c r="BF58" s="404">
        <v>0</v>
      </c>
      <c r="BG58" s="404">
        <v>0</v>
      </c>
      <c r="BH58" s="404">
        <v>0</v>
      </c>
      <c r="BI58" s="404">
        <v>0</v>
      </c>
      <c r="BJ58" s="404">
        <v>0</v>
      </c>
      <c r="BK58" s="404">
        <v>0</v>
      </c>
      <c r="BL58" s="404">
        <v>0</v>
      </c>
      <c r="BM58" s="404">
        <v>7900</v>
      </c>
      <c r="BN58" s="404">
        <v>0</v>
      </c>
      <c r="BO58" s="404">
        <v>0</v>
      </c>
      <c r="BP58" s="404">
        <v>0</v>
      </c>
      <c r="BQ58" s="404">
        <v>0</v>
      </c>
      <c r="BR58" s="404">
        <v>0</v>
      </c>
      <c r="BS58" s="404">
        <v>0</v>
      </c>
      <c r="BT58" s="404">
        <v>0</v>
      </c>
      <c r="BU58" s="404">
        <v>0</v>
      </c>
      <c r="BV58" s="404">
        <v>0</v>
      </c>
      <c r="BW58" s="404">
        <v>0</v>
      </c>
      <c r="BX58" s="404">
        <v>0</v>
      </c>
      <c r="BY58" s="404">
        <v>0</v>
      </c>
      <c r="BZ58" s="404">
        <v>0</v>
      </c>
      <c r="CA58" s="404">
        <v>0</v>
      </c>
      <c r="CB58" s="404">
        <v>0</v>
      </c>
      <c r="CC58" s="404">
        <v>0</v>
      </c>
      <c r="CD58" s="404">
        <v>534744</v>
      </c>
      <c r="CE58" s="404">
        <v>0</v>
      </c>
      <c r="CF58" s="404">
        <v>0</v>
      </c>
      <c r="CG58" s="404">
        <v>0</v>
      </c>
      <c r="CH58" s="404">
        <v>0</v>
      </c>
      <c r="CI58" s="404">
        <v>0</v>
      </c>
      <c r="CJ58" s="404">
        <v>29873</v>
      </c>
      <c r="CK58" s="404">
        <v>0</v>
      </c>
      <c r="CL58" s="404">
        <v>0</v>
      </c>
      <c r="CM58" s="404">
        <v>0</v>
      </c>
      <c r="CN58" s="404">
        <v>0</v>
      </c>
      <c r="CO58" s="404">
        <v>0</v>
      </c>
      <c r="CP58" s="404">
        <v>0</v>
      </c>
      <c r="CQ58" s="404">
        <v>0</v>
      </c>
      <c r="CR58" s="404">
        <v>0</v>
      </c>
    </row>
    <row r="59" spans="1:96" s="404" customFormat="1" x14ac:dyDescent="0.3">
      <c r="A59" s="404">
        <v>99</v>
      </c>
      <c r="B59" s="405">
        <v>99</v>
      </c>
      <c r="C59" s="404">
        <v>99</v>
      </c>
      <c r="D59" s="404" t="s">
        <v>238</v>
      </c>
      <c r="E59" s="404" t="s">
        <v>362</v>
      </c>
      <c r="F59" s="404">
        <v>0</v>
      </c>
      <c r="G59" s="404">
        <v>0</v>
      </c>
      <c r="H59" s="404">
        <v>0</v>
      </c>
      <c r="I59" s="404">
        <v>0</v>
      </c>
      <c r="J59" s="404">
        <v>1026731</v>
      </c>
      <c r="K59" s="404">
        <v>0</v>
      </c>
      <c r="L59" s="404">
        <v>34628620</v>
      </c>
      <c r="M59" s="404">
        <v>0</v>
      </c>
      <c r="N59" s="404">
        <v>0</v>
      </c>
      <c r="O59" s="404">
        <v>0</v>
      </c>
      <c r="P59" s="404">
        <v>0</v>
      </c>
      <c r="Q59" s="404">
        <v>0</v>
      </c>
      <c r="R59" s="404">
        <v>0</v>
      </c>
      <c r="S59" s="404">
        <v>0</v>
      </c>
      <c r="T59" s="404">
        <v>0</v>
      </c>
      <c r="U59" s="404">
        <v>0</v>
      </c>
      <c r="V59" s="404">
        <v>0</v>
      </c>
      <c r="W59" s="404">
        <v>0</v>
      </c>
      <c r="X59" s="404">
        <v>0</v>
      </c>
      <c r="Y59" s="404">
        <v>0</v>
      </c>
      <c r="Z59" s="404">
        <v>0</v>
      </c>
      <c r="AA59" s="404">
        <v>0</v>
      </c>
      <c r="AB59" s="404">
        <v>16302917</v>
      </c>
      <c r="AC59" s="404">
        <v>0</v>
      </c>
      <c r="AD59" s="404">
        <v>0</v>
      </c>
      <c r="AE59" s="404">
        <v>0</v>
      </c>
      <c r="AF59" s="404">
        <v>0</v>
      </c>
      <c r="AG59" s="404">
        <v>0</v>
      </c>
      <c r="AH59" s="404">
        <v>0</v>
      </c>
      <c r="AI59" s="404">
        <v>0</v>
      </c>
      <c r="AJ59" s="404">
        <v>0</v>
      </c>
      <c r="AK59" s="404">
        <v>0</v>
      </c>
      <c r="AL59" s="404">
        <v>0</v>
      </c>
      <c r="AM59" s="404">
        <v>0</v>
      </c>
      <c r="AN59" s="404">
        <v>0</v>
      </c>
      <c r="AO59" s="404">
        <v>0</v>
      </c>
      <c r="AP59" s="404">
        <v>0</v>
      </c>
      <c r="AQ59" s="404">
        <v>0</v>
      </c>
      <c r="AR59" s="404">
        <v>0</v>
      </c>
      <c r="AS59" s="404">
        <v>0</v>
      </c>
      <c r="AT59" s="404">
        <v>0</v>
      </c>
      <c r="AU59" s="404">
        <v>0</v>
      </c>
      <c r="AV59" s="404">
        <v>0</v>
      </c>
      <c r="AW59" s="404">
        <v>0</v>
      </c>
      <c r="AX59" s="404">
        <v>0</v>
      </c>
      <c r="AY59" s="404">
        <v>0</v>
      </c>
      <c r="AZ59" s="404">
        <v>12506266</v>
      </c>
      <c r="BA59" s="404">
        <v>0</v>
      </c>
      <c r="BB59" s="404">
        <v>0</v>
      </c>
      <c r="BC59" s="404">
        <v>0</v>
      </c>
      <c r="BD59" s="404">
        <v>0</v>
      </c>
      <c r="BE59" s="404">
        <v>0</v>
      </c>
      <c r="BF59" s="404">
        <v>163224</v>
      </c>
      <c r="BG59" s="404">
        <v>0</v>
      </c>
      <c r="BH59" s="404">
        <v>0</v>
      </c>
      <c r="BI59" s="404">
        <v>21665850</v>
      </c>
      <c r="BJ59" s="404">
        <v>0</v>
      </c>
      <c r="BK59" s="404">
        <v>0</v>
      </c>
      <c r="BL59" s="404">
        <v>0</v>
      </c>
      <c r="BM59" s="404">
        <v>5133000</v>
      </c>
      <c r="BN59" s="404">
        <v>0</v>
      </c>
      <c r="BO59" s="404">
        <v>0</v>
      </c>
      <c r="BP59" s="404">
        <v>0</v>
      </c>
      <c r="BQ59" s="404">
        <v>0</v>
      </c>
      <c r="BR59" s="404">
        <v>0</v>
      </c>
      <c r="BS59" s="404">
        <v>0</v>
      </c>
      <c r="BT59" s="404">
        <v>0</v>
      </c>
      <c r="BU59" s="404">
        <v>0</v>
      </c>
      <c r="BV59" s="404">
        <v>0</v>
      </c>
      <c r="BW59" s="404">
        <v>0</v>
      </c>
      <c r="BX59" s="404">
        <v>0</v>
      </c>
      <c r="BY59" s="404">
        <v>0</v>
      </c>
      <c r="BZ59" s="404">
        <v>0</v>
      </c>
      <c r="CA59" s="404">
        <v>0</v>
      </c>
      <c r="CB59" s="404">
        <v>0</v>
      </c>
      <c r="CC59" s="404">
        <v>0</v>
      </c>
      <c r="CD59" s="404">
        <v>79868066</v>
      </c>
      <c r="CE59" s="404">
        <v>0</v>
      </c>
      <c r="CF59" s="404">
        <v>2837571</v>
      </c>
      <c r="CG59" s="404">
        <v>0</v>
      </c>
      <c r="CH59" s="404">
        <v>0</v>
      </c>
      <c r="CI59" s="404">
        <v>0</v>
      </c>
      <c r="CJ59" s="404">
        <v>2928846</v>
      </c>
      <c r="CK59" s="404">
        <v>0</v>
      </c>
      <c r="CL59" s="404">
        <v>0</v>
      </c>
      <c r="CM59" s="404">
        <v>0</v>
      </c>
      <c r="CN59" s="404">
        <v>0</v>
      </c>
      <c r="CO59" s="404">
        <v>0</v>
      </c>
      <c r="CP59" s="404">
        <v>0</v>
      </c>
      <c r="CQ59" s="404">
        <v>0</v>
      </c>
      <c r="CR59" s="404">
        <v>0</v>
      </c>
    </row>
    <row r="60" spans="1:96" s="404" customFormat="1" x14ac:dyDescent="0.3">
      <c r="A60" s="404">
        <v>100</v>
      </c>
      <c r="B60" s="405">
        <v>100</v>
      </c>
      <c r="C60" s="404">
        <v>100</v>
      </c>
      <c r="D60" s="404" t="s">
        <v>251</v>
      </c>
      <c r="E60" s="404" t="s">
        <v>363</v>
      </c>
      <c r="F60" s="404">
        <v>0</v>
      </c>
      <c r="G60" s="404">
        <v>0</v>
      </c>
      <c r="H60" s="404">
        <v>0</v>
      </c>
      <c r="I60" s="404">
        <v>0</v>
      </c>
      <c r="J60" s="404">
        <v>0</v>
      </c>
      <c r="K60" s="404">
        <v>0</v>
      </c>
      <c r="L60" s="404">
        <v>0</v>
      </c>
      <c r="M60" s="404">
        <v>0</v>
      </c>
      <c r="N60" s="404">
        <v>0</v>
      </c>
      <c r="O60" s="404">
        <v>0</v>
      </c>
      <c r="P60" s="404">
        <v>0</v>
      </c>
      <c r="Q60" s="404">
        <v>0</v>
      </c>
      <c r="R60" s="404">
        <v>0</v>
      </c>
      <c r="S60" s="404">
        <v>0</v>
      </c>
      <c r="T60" s="404">
        <v>0</v>
      </c>
      <c r="U60" s="404">
        <v>0</v>
      </c>
      <c r="V60" s="404">
        <v>0</v>
      </c>
      <c r="W60" s="404">
        <v>0</v>
      </c>
      <c r="X60" s="404">
        <v>0</v>
      </c>
      <c r="Y60" s="404">
        <v>0</v>
      </c>
      <c r="Z60" s="404">
        <v>0</v>
      </c>
      <c r="AA60" s="404">
        <v>0</v>
      </c>
      <c r="AB60" s="404">
        <v>0</v>
      </c>
      <c r="AC60" s="404">
        <v>0</v>
      </c>
      <c r="AD60" s="404">
        <v>0</v>
      </c>
      <c r="AE60" s="404">
        <v>0</v>
      </c>
      <c r="AF60" s="404">
        <v>0</v>
      </c>
      <c r="AG60" s="404">
        <v>0</v>
      </c>
      <c r="AH60" s="404">
        <v>0</v>
      </c>
      <c r="AI60" s="404">
        <v>0</v>
      </c>
      <c r="AJ60" s="404">
        <v>0</v>
      </c>
      <c r="AK60" s="404">
        <v>0</v>
      </c>
      <c r="AL60" s="404">
        <v>0</v>
      </c>
      <c r="AM60" s="404">
        <v>0</v>
      </c>
      <c r="AN60" s="404">
        <v>0</v>
      </c>
      <c r="AO60" s="404">
        <v>0</v>
      </c>
      <c r="AP60" s="404">
        <v>0</v>
      </c>
      <c r="AQ60" s="404">
        <v>0</v>
      </c>
      <c r="AR60" s="404">
        <v>0</v>
      </c>
      <c r="AS60" s="404">
        <v>0</v>
      </c>
      <c r="AT60" s="404">
        <v>0</v>
      </c>
      <c r="AU60" s="404">
        <v>0</v>
      </c>
      <c r="AV60" s="404">
        <v>0</v>
      </c>
      <c r="AW60" s="404">
        <v>0</v>
      </c>
      <c r="AX60" s="404">
        <v>0</v>
      </c>
      <c r="AY60" s="404">
        <v>0</v>
      </c>
      <c r="AZ60" s="404">
        <v>880769</v>
      </c>
      <c r="BA60" s="404">
        <v>0</v>
      </c>
      <c r="BB60" s="404">
        <v>0</v>
      </c>
      <c r="BC60" s="404">
        <v>0</v>
      </c>
      <c r="BD60" s="404">
        <v>0</v>
      </c>
      <c r="BE60" s="404">
        <v>0</v>
      </c>
      <c r="BF60" s="404">
        <v>0</v>
      </c>
      <c r="BG60" s="404">
        <v>0</v>
      </c>
      <c r="BH60" s="404">
        <v>0</v>
      </c>
      <c r="BI60" s="404">
        <v>0</v>
      </c>
      <c r="BJ60" s="404">
        <v>0</v>
      </c>
      <c r="BK60" s="404">
        <v>0</v>
      </c>
      <c r="BL60" s="404">
        <v>0</v>
      </c>
      <c r="BM60" s="404">
        <v>329435</v>
      </c>
      <c r="BN60" s="404">
        <v>0</v>
      </c>
      <c r="BO60" s="404">
        <v>0</v>
      </c>
      <c r="BP60" s="404">
        <v>0</v>
      </c>
      <c r="BQ60" s="404">
        <v>0</v>
      </c>
      <c r="BR60" s="404">
        <v>0</v>
      </c>
      <c r="BS60" s="404">
        <v>0</v>
      </c>
      <c r="BT60" s="404">
        <v>0</v>
      </c>
      <c r="BU60" s="404">
        <v>0</v>
      </c>
      <c r="BV60" s="404">
        <v>0</v>
      </c>
      <c r="BW60" s="404">
        <v>0</v>
      </c>
      <c r="BX60" s="404">
        <v>0</v>
      </c>
      <c r="BY60" s="404">
        <v>0</v>
      </c>
      <c r="BZ60" s="404">
        <v>0</v>
      </c>
      <c r="CA60" s="404">
        <v>0</v>
      </c>
      <c r="CB60" s="404">
        <v>0</v>
      </c>
      <c r="CC60" s="404">
        <v>0</v>
      </c>
      <c r="CD60" s="404">
        <v>1220757</v>
      </c>
      <c r="CE60" s="404">
        <v>0</v>
      </c>
      <c r="CF60" s="404">
        <v>0</v>
      </c>
      <c r="CG60" s="404">
        <v>0</v>
      </c>
      <c r="CH60" s="404">
        <v>0</v>
      </c>
      <c r="CI60" s="404">
        <v>0</v>
      </c>
      <c r="CJ60" s="404">
        <v>350410</v>
      </c>
      <c r="CK60" s="404">
        <v>0</v>
      </c>
      <c r="CL60" s="404">
        <v>0</v>
      </c>
      <c r="CM60" s="404">
        <v>22658</v>
      </c>
      <c r="CN60" s="404">
        <v>0</v>
      </c>
      <c r="CO60" s="404">
        <v>0</v>
      </c>
      <c r="CP60" s="404">
        <v>0</v>
      </c>
      <c r="CQ60" s="404">
        <v>0</v>
      </c>
      <c r="CR60" s="404">
        <v>0</v>
      </c>
    </row>
    <row r="61" spans="1:96" s="404" customFormat="1" x14ac:dyDescent="0.3">
      <c r="A61" s="404">
        <v>101</v>
      </c>
      <c r="B61" s="405">
        <v>101</v>
      </c>
      <c r="C61" s="404">
        <v>101</v>
      </c>
      <c r="D61" s="404" t="s">
        <v>250</v>
      </c>
      <c r="E61" s="404" t="s">
        <v>364</v>
      </c>
      <c r="F61" s="404">
        <v>0</v>
      </c>
      <c r="G61" s="404">
        <v>0</v>
      </c>
      <c r="H61" s="404">
        <v>0</v>
      </c>
      <c r="I61" s="404">
        <v>0</v>
      </c>
      <c r="J61" s="404">
        <v>33129</v>
      </c>
      <c r="K61" s="404">
        <v>0</v>
      </c>
      <c r="L61" s="404">
        <v>6300833</v>
      </c>
      <c r="M61" s="404">
        <v>0</v>
      </c>
      <c r="N61" s="404">
        <v>0</v>
      </c>
      <c r="O61" s="404">
        <v>0</v>
      </c>
      <c r="P61" s="404">
        <v>0</v>
      </c>
      <c r="Q61" s="404">
        <v>0</v>
      </c>
      <c r="R61" s="404">
        <v>0</v>
      </c>
      <c r="S61" s="404">
        <v>0</v>
      </c>
      <c r="T61" s="404">
        <v>0</v>
      </c>
      <c r="U61" s="404">
        <v>0</v>
      </c>
      <c r="V61" s="404">
        <v>0</v>
      </c>
      <c r="W61" s="404">
        <v>0</v>
      </c>
      <c r="X61" s="404">
        <v>0</v>
      </c>
      <c r="Y61" s="404">
        <v>0</v>
      </c>
      <c r="Z61" s="404">
        <v>0</v>
      </c>
      <c r="AA61" s="404">
        <v>0</v>
      </c>
      <c r="AB61" s="404">
        <v>1546129</v>
      </c>
      <c r="AC61" s="404">
        <v>0</v>
      </c>
      <c r="AD61" s="404">
        <v>0</v>
      </c>
      <c r="AE61" s="404">
        <v>0</v>
      </c>
      <c r="AF61" s="404">
        <v>0</v>
      </c>
      <c r="AG61" s="404">
        <v>0</v>
      </c>
      <c r="AH61" s="404">
        <v>0</v>
      </c>
      <c r="AI61" s="404">
        <v>0</v>
      </c>
      <c r="AJ61" s="404">
        <v>0</v>
      </c>
      <c r="AK61" s="404">
        <v>0</v>
      </c>
      <c r="AL61" s="404">
        <v>0</v>
      </c>
      <c r="AM61" s="404">
        <v>0</v>
      </c>
      <c r="AN61" s="404">
        <v>0</v>
      </c>
      <c r="AO61" s="404">
        <v>0</v>
      </c>
      <c r="AP61" s="404">
        <v>0</v>
      </c>
      <c r="AQ61" s="404">
        <v>0</v>
      </c>
      <c r="AR61" s="404">
        <v>0</v>
      </c>
      <c r="AS61" s="404">
        <v>0</v>
      </c>
      <c r="AT61" s="404">
        <v>0</v>
      </c>
      <c r="AU61" s="404">
        <v>0</v>
      </c>
      <c r="AV61" s="404">
        <v>0</v>
      </c>
      <c r="AW61" s="404">
        <v>0</v>
      </c>
      <c r="AX61" s="404">
        <v>0</v>
      </c>
      <c r="AY61" s="404">
        <v>0</v>
      </c>
      <c r="AZ61" s="404">
        <v>868495</v>
      </c>
      <c r="BA61" s="404">
        <v>0</v>
      </c>
      <c r="BB61" s="404">
        <v>0</v>
      </c>
      <c r="BC61" s="404">
        <v>0</v>
      </c>
      <c r="BD61" s="404">
        <v>0</v>
      </c>
      <c r="BE61" s="404">
        <v>0</v>
      </c>
      <c r="BF61" s="404">
        <v>0</v>
      </c>
      <c r="BG61" s="404">
        <v>0</v>
      </c>
      <c r="BH61" s="404">
        <v>0</v>
      </c>
      <c r="BI61" s="404">
        <v>3130220</v>
      </c>
      <c r="BJ61" s="404">
        <v>0</v>
      </c>
      <c r="BK61" s="404">
        <v>0</v>
      </c>
      <c r="BL61" s="404">
        <v>0</v>
      </c>
      <c r="BM61" s="404">
        <v>369102</v>
      </c>
      <c r="BN61" s="404">
        <v>0</v>
      </c>
      <c r="BO61" s="404">
        <v>0</v>
      </c>
      <c r="BP61" s="404">
        <v>0</v>
      </c>
      <c r="BQ61" s="404">
        <v>0</v>
      </c>
      <c r="BR61" s="404">
        <v>0</v>
      </c>
      <c r="BS61" s="404">
        <v>0</v>
      </c>
      <c r="BT61" s="404">
        <v>0</v>
      </c>
      <c r="BU61" s="404">
        <v>0</v>
      </c>
      <c r="BV61" s="404">
        <v>0</v>
      </c>
      <c r="BW61" s="404">
        <v>0</v>
      </c>
      <c r="BX61" s="404">
        <v>0</v>
      </c>
      <c r="BY61" s="404">
        <v>0</v>
      </c>
      <c r="BZ61" s="404">
        <v>0</v>
      </c>
      <c r="CA61" s="404">
        <v>0</v>
      </c>
      <c r="CB61" s="404">
        <v>0</v>
      </c>
      <c r="CC61" s="404">
        <v>0</v>
      </c>
      <c r="CD61" s="404">
        <v>6564845</v>
      </c>
      <c r="CE61" s="404">
        <v>0</v>
      </c>
      <c r="CF61" s="404">
        <v>96982</v>
      </c>
      <c r="CG61" s="404">
        <v>0</v>
      </c>
      <c r="CH61" s="404">
        <v>0</v>
      </c>
      <c r="CI61" s="404">
        <v>0</v>
      </c>
      <c r="CJ61" s="404">
        <v>490358</v>
      </c>
      <c r="CK61" s="404">
        <v>0</v>
      </c>
      <c r="CL61" s="404">
        <v>0</v>
      </c>
      <c r="CM61" s="404">
        <v>0</v>
      </c>
      <c r="CN61" s="404">
        <v>0</v>
      </c>
      <c r="CO61" s="404">
        <v>0</v>
      </c>
      <c r="CP61" s="404">
        <v>0</v>
      </c>
      <c r="CQ61" s="404">
        <v>0</v>
      </c>
      <c r="CR61" s="404">
        <v>0</v>
      </c>
    </row>
    <row r="62" spans="1:96" s="407" customFormat="1" x14ac:dyDescent="0.3">
      <c r="A62" s="404">
        <v>102</v>
      </c>
      <c r="B62" s="405">
        <v>102</v>
      </c>
      <c r="C62" s="407">
        <v>102</v>
      </c>
      <c r="D62" s="407" t="s">
        <v>268</v>
      </c>
      <c r="E62" s="407" t="s">
        <v>365</v>
      </c>
      <c r="F62" s="1168">
        <v>97.77</v>
      </c>
      <c r="G62" s="1168">
        <v>99.7</v>
      </c>
      <c r="H62" s="1168">
        <v>97.51</v>
      </c>
      <c r="I62" s="1168">
        <v>98.73</v>
      </c>
      <c r="J62" s="1168">
        <v>95.88</v>
      </c>
      <c r="K62" s="1168">
        <v>94.85</v>
      </c>
      <c r="L62" s="1168">
        <v>98.94</v>
      </c>
      <c r="M62" s="1168">
        <v>98.85</v>
      </c>
      <c r="N62" s="1168">
        <v>99.13</v>
      </c>
      <c r="O62" s="1168">
        <v>0</v>
      </c>
      <c r="P62" s="1168">
        <v>98.84</v>
      </c>
      <c r="Q62" s="1168">
        <v>95.01</v>
      </c>
      <c r="R62" s="1168">
        <v>96.65</v>
      </c>
      <c r="S62" s="1168">
        <v>98.45</v>
      </c>
      <c r="T62" s="1168">
        <v>99.72</v>
      </c>
      <c r="U62" s="1168">
        <v>99.36</v>
      </c>
      <c r="V62" s="1168">
        <v>98.11</v>
      </c>
      <c r="W62" s="1168">
        <v>99.02</v>
      </c>
      <c r="X62" s="1168">
        <v>0</v>
      </c>
      <c r="Y62" s="1168">
        <v>97.84</v>
      </c>
      <c r="Z62" s="1168">
        <v>98.11</v>
      </c>
      <c r="AA62" s="1168">
        <v>86.32</v>
      </c>
      <c r="AB62" s="1168">
        <v>96.54</v>
      </c>
      <c r="AC62" s="1168">
        <v>98.06</v>
      </c>
      <c r="AD62" s="1168">
        <v>99.39</v>
      </c>
      <c r="AE62" s="1168">
        <v>94.96</v>
      </c>
      <c r="AF62" s="1168">
        <v>96.33</v>
      </c>
      <c r="AG62" s="1168">
        <v>99.04</v>
      </c>
      <c r="AH62" s="1168">
        <v>99.82</v>
      </c>
      <c r="AI62" s="1168">
        <v>99.83</v>
      </c>
      <c r="AJ62" s="1168">
        <v>94.85</v>
      </c>
      <c r="AK62" s="1168">
        <v>98.77</v>
      </c>
      <c r="AL62" s="1168">
        <v>97.92</v>
      </c>
      <c r="AM62" s="1168">
        <v>97.46</v>
      </c>
      <c r="AN62" s="1168">
        <v>97.67</v>
      </c>
      <c r="AO62" s="1168">
        <v>94.57</v>
      </c>
      <c r="AP62" s="1168">
        <v>98.13</v>
      </c>
      <c r="AQ62" s="1168">
        <v>97.69</v>
      </c>
      <c r="AR62" s="1168">
        <v>0</v>
      </c>
      <c r="AS62" s="1168">
        <v>94.6</v>
      </c>
      <c r="AT62" s="1168">
        <v>95.41</v>
      </c>
      <c r="AU62" s="1168">
        <v>99.3</v>
      </c>
      <c r="AV62" s="1168">
        <v>89.18</v>
      </c>
      <c r="AW62" s="1168">
        <v>97.87</v>
      </c>
      <c r="AX62" s="1168">
        <v>92.81</v>
      </c>
      <c r="AY62" s="1168">
        <v>88.07</v>
      </c>
      <c r="AZ62" s="1168">
        <v>99.72</v>
      </c>
      <c r="BA62" s="1168">
        <v>98.9</v>
      </c>
      <c r="BB62" s="1168">
        <v>91.55</v>
      </c>
      <c r="BC62" s="1168">
        <v>98.01</v>
      </c>
      <c r="BD62" s="1168">
        <v>96.43</v>
      </c>
      <c r="BE62" s="1168">
        <v>99.89</v>
      </c>
      <c r="BF62" s="1168">
        <v>97.88</v>
      </c>
      <c r="BG62" s="1168">
        <v>97.51</v>
      </c>
      <c r="BH62" s="1168">
        <v>96.15</v>
      </c>
      <c r="BI62" s="1168">
        <v>98.12</v>
      </c>
      <c r="BJ62" s="1168">
        <v>98.71</v>
      </c>
      <c r="BK62" s="1168">
        <v>87.86</v>
      </c>
      <c r="BL62" s="1168">
        <v>99.21</v>
      </c>
      <c r="BM62" s="1168">
        <v>96.16</v>
      </c>
      <c r="BN62" s="1168">
        <v>98.45</v>
      </c>
      <c r="BO62" s="1168">
        <v>98.09</v>
      </c>
      <c r="BP62" s="1168">
        <v>98.73</v>
      </c>
      <c r="BQ62" s="1168">
        <v>93.27</v>
      </c>
      <c r="BR62" s="1168">
        <v>99.49</v>
      </c>
      <c r="BS62" s="1168">
        <v>0</v>
      </c>
      <c r="BT62" s="1168">
        <v>99.71</v>
      </c>
      <c r="BU62" s="1168">
        <v>98.04</v>
      </c>
      <c r="BV62" s="1168">
        <v>99.62</v>
      </c>
      <c r="BW62" s="1168">
        <v>0</v>
      </c>
      <c r="BX62" s="1168">
        <v>97.2</v>
      </c>
      <c r="BY62" s="1168">
        <v>98.54</v>
      </c>
      <c r="BZ62" s="1168">
        <v>97.9</v>
      </c>
      <c r="CA62" s="1168">
        <v>0</v>
      </c>
      <c r="CB62" s="1168">
        <v>89.48</v>
      </c>
      <c r="CC62" s="1168">
        <v>98.95</v>
      </c>
      <c r="CD62" s="1168">
        <v>98.23</v>
      </c>
      <c r="CE62" s="1168">
        <v>99.61</v>
      </c>
      <c r="CF62" s="1168">
        <v>96.76</v>
      </c>
      <c r="CG62" s="1168">
        <v>92.92</v>
      </c>
      <c r="CH62" s="1168">
        <v>98.81</v>
      </c>
      <c r="CI62" s="1168">
        <v>98.81</v>
      </c>
      <c r="CJ62" s="1168">
        <v>98.77</v>
      </c>
      <c r="CK62" s="1168">
        <v>91.98</v>
      </c>
      <c r="CL62" s="1168">
        <v>99.51</v>
      </c>
      <c r="CM62" s="1168">
        <v>86.14</v>
      </c>
      <c r="CN62" s="1168">
        <v>99.56</v>
      </c>
      <c r="CO62" s="1168">
        <v>98.23</v>
      </c>
      <c r="CP62" s="1168">
        <v>98.29</v>
      </c>
      <c r="CQ62" s="1168">
        <v>99.44</v>
      </c>
      <c r="CR62" s="1168">
        <v>99.57</v>
      </c>
    </row>
    <row r="63" spans="1:96" s="407" customFormat="1" x14ac:dyDescent="0.3">
      <c r="A63" s="404">
        <v>103</v>
      </c>
      <c r="B63" s="405">
        <v>103</v>
      </c>
      <c r="C63" s="407">
        <v>103</v>
      </c>
      <c r="D63" s="407" t="s">
        <v>269</v>
      </c>
      <c r="E63" s="407" t="s">
        <v>366</v>
      </c>
      <c r="F63" s="1168">
        <v>100</v>
      </c>
      <c r="G63" s="1168">
        <v>99.53</v>
      </c>
      <c r="H63" s="1168">
        <v>99.83</v>
      </c>
      <c r="I63" s="1168">
        <v>100</v>
      </c>
      <c r="J63" s="1168">
        <v>100</v>
      </c>
      <c r="K63" s="1168">
        <v>100</v>
      </c>
      <c r="L63" s="1168">
        <v>100</v>
      </c>
      <c r="M63" s="1168">
        <v>100</v>
      </c>
      <c r="N63" s="1168">
        <v>100</v>
      </c>
      <c r="O63" s="1168">
        <v>0</v>
      </c>
      <c r="P63" s="1168">
        <v>100</v>
      </c>
      <c r="Q63" s="1168">
        <v>100</v>
      </c>
      <c r="R63" s="1168">
        <v>100</v>
      </c>
      <c r="S63" s="1168">
        <v>100</v>
      </c>
      <c r="T63" s="1168">
        <v>100</v>
      </c>
      <c r="U63" s="1168">
        <v>100</v>
      </c>
      <c r="V63" s="1168">
        <v>100</v>
      </c>
      <c r="W63" s="1168">
        <v>100</v>
      </c>
      <c r="X63" s="1168">
        <v>0</v>
      </c>
      <c r="Y63" s="1168">
        <v>100</v>
      </c>
      <c r="Z63" s="1168">
        <v>100</v>
      </c>
      <c r="AA63" s="1168">
        <v>100</v>
      </c>
      <c r="AB63" s="1168">
        <v>100</v>
      </c>
      <c r="AC63" s="1168">
        <v>100</v>
      </c>
      <c r="AD63" s="1168">
        <v>100</v>
      </c>
      <c r="AE63" s="1168">
        <v>100</v>
      </c>
      <c r="AF63" s="1168">
        <v>99.69</v>
      </c>
      <c r="AG63" s="1168">
        <v>100</v>
      </c>
      <c r="AH63" s="1168">
        <v>100</v>
      </c>
      <c r="AI63" s="1168">
        <v>100</v>
      </c>
      <c r="AJ63" s="1168">
        <v>100</v>
      </c>
      <c r="AK63" s="1168">
        <v>100</v>
      </c>
      <c r="AL63" s="1168">
        <v>99.53</v>
      </c>
      <c r="AM63" s="1168">
        <v>99.53</v>
      </c>
      <c r="AN63" s="1168">
        <v>100</v>
      </c>
      <c r="AO63" s="1168">
        <v>100</v>
      </c>
      <c r="AP63" s="1168">
        <v>100</v>
      </c>
      <c r="AQ63" s="1168">
        <v>100</v>
      </c>
      <c r="AR63" s="1168">
        <v>0</v>
      </c>
      <c r="AS63" s="1168">
        <v>100</v>
      </c>
      <c r="AT63" s="1168">
        <v>100</v>
      </c>
      <c r="AU63" s="1168">
        <v>100</v>
      </c>
      <c r="AV63" s="1168">
        <v>100</v>
      </c>
      <c r="AW63" s="1168">
        <v>99.58</v>
      </c>
      <c r="AX63" s="1168">
        <v>100</v>
      </c>
      <c r="AY63" s="1168">
        <v>100</v>
      </c>
      <c r="AZ63" s="1168">
        <v>99.49</v>
      </c>
      <c r="BA63" s="1168">
        <v>100</v>
      </c>
      <c r="BB63" s="1168">
        <v>100</v>
      </c>
      <c r="BC63" s="1168">
        <v>100</v>
      </c>
      <c r="BD63" s="1168">
        <v>100</v>
      </c>
      <c r="BE63" s="1168">
        <v>100</v>
      </c>
      <c r="BF63" s="1168">
        <v>100</v>
      </c>
      <c r="BG63" s="1168">
        <v>100</v>
      </c>
      <c r="BH63" s="1168">
        <v>100</v>
      </c>
      <c r="BI63" s="1168">
        <v>100</v>
      </c>
      <c r="BJ63" s="1168">
        <v>100</v>
      </c>
      <c r="BK63" s="1168">
        <v>100</v>
      </c>
      <c r="BL63" s="1168">
        <v>100</v>
      </c>
      <c r="BM63" s="1168">
        <v>100</v>
      </c>
      <c r="BN63" s="1168">
        <v>100</v>
      </c>
      <c r="BO63" s="1168">
        <v>100</v>
      </c>
      <c r="BP63" s="1168">
        <v>100</v>
      </c>
      <c r="BQ63" s="1168">
        <v>99.47</v>
      </c>
      <c r="BR63" s="1168">
        <v>100</v>
      </c>
      <c r="BS63" s="1168">
        <v>0</v>
      </c>
      <c r="BT63" s="1168">
        <v>100</v>
      </c>
      <c r="BU63" s="1168">
        <v>100</v>
      </c>
      <c r="BV63" s="1168">
        <v>100</v>
      </c>
      <c r="BW63" s="1168">
        <v>0</v>
      </c>
      <c r="BX63" s="1168">
        <v>100</v>
      </c>
      <c r="BY63" s="1168">
        <v>100</v>
      </c>
      <c r="BZ63" s="1168">
        <v>100</v>
      </c>
      <c r="CA63" s="1168">
        <v>0</v>
      </c>
      <c r="CB63" s="1168">
        <v>100</v>
      </c>
      <c r="CC63" s="1168">
        <v>100</v>
      </c>
      <c r="CD63" s="1168">
        <v>99.67</v>
      </c>
      <c r="CE63" s="1168">
        <v>100</v>
      </c>
      <c r="CF63" s="1168">
        <v>99.52</v>
      </c>
      <c r="CG63" s="1168">
        <v>100</v>
      </c>
      <c r="CH63" s="1168">
        <v>100</v>
      </c>
      <c r="CI63" s="1168">
        <v>100</v>
      </c>
      <c r="CJ63" s="1168">
        <v>100</v>
      </c>
      <c r="CK63" s="1168">
        <v>100</v>
      </c>
      <c r="CL63" s="1168">
        <v>100</v>
      </c>
      <c r="CM63" s="1168">
        <v>100</v>
      </c>
      <c r="CN63" s="1168">
        <v>100</v>
      </c>
      <c r="CO63" s="1168">
        <v>100</v>
      </c>
      <c r="CP63" s="1168">
        <v>100</v>
      </c>
      <c r="CQ63" s="1168">
        <v>100</v>
      </c>
      <c r="CR63" s="1168">
        <v>98.97</v>
      </c>
    </row>
    <row r="64" spans="1:96" s="404" customFormat="1" x14ac:dyDescent="0.3">
      <c r="A64" s="404">
        <v>104</v>
      </c>
      <c r="B64" s="405"/>
      <c r="C64" s="404">
        <v>104</v>
      </c>
      <c r="D64" s="404" t="s">
        <v>367</v>
      </c>
      <c r="E64" s="404" t="s">
        <v>368</v>
      </c>
    </row>
    <row r="65" spans="1:96" s="404" customFormat="1" x14ac:dyDescent="0.3">
      <c r="A65" s="404">
        <v>107</v>
      </c>
      <c r="B65" s="405"/>
      <c r="C65" s="404">
        <v>107</v>
      </c>
      <c r="D65" s="404" t="s">
        <v>632</v>
      </c>
      <c r="E65" s="404" t="s">
        <v>369</v>
      </c>
    </row>
    <row r="66" spans="1:96" s="404" customFormat="1" x14ac:dyDescent="0.3">
      <c r="A66" s="404">
        <v>108</v>
      </c>
      <c r="B66" s="405"/>
      <c r="C66" s="404">
        <v>108</v>
      </c>
      <c r="D66" s="404" t="s">
        <v>633</v>
      </c>
      <c r="E66" s="404" t="s">
        <v>370</v>
      </c>
    </row>
    <row r="67" spans="1:96" s="404" customFormat="1" x14ac:dyDescent="0.3">
      <c r="A67" s="404">
        <v>147</v>
      </c>
      <c r="B67" s="405"/>
      <c r="C67" s="404">
        <v>147</v>
      </c>
      <c r="D67" s="404" t="s">
        <v>371</v>
      </c>
      <c r="E67" s="404" t="s">
        <v>372</v>
      </c>
    </row>
    <row r="68" spans="1:96" s="404" customFormat="1" x14ac:dyDescent="0.3">
      <c r="A68" s="404">
        <v>148</v>
      </c>
      <c r="B68" s="405"/>
      <c r="C68" s="404">
        <v>148</v>
      </c>
      <c r="D68" s="404" t="s">
        <v>373</v>
      </c>
      <c r="E68" s="404" t="s">
        <v>374</v>
      </c>
    </row>
    <row r="69" spans="1:96" s="404" customFormat="1" x14ac:dyDescent="0.3">
      <c r="A69" s="404">
        <v>149</v>
      </c>
      <c r="B69" s="405"/>
      <c r="C69" s="404">
        <v>149</v>
      </c>
      <c r="D69" s="404" t="s">
        <v>375</v>
      </c>
      <c r="E69" s="404" t="s">
        <v>376</v>
      </c>
    </row>
    <row r="70" spans="1:96" s="404" customFormat="1" x14ac:dyDescent="0.3">
      <c r="A70" s="404">
        <v>150</v>
      </c>
      <c r="B70" s="405"/>
      <c r="C70" s="404">
        <v>150</v>
      </c>
      <c r="D70" s="404" t="s">
        <v>377</v>
      </c>
      <c r="E70" s="404" t="s">
        <v>378</v>
      </c>
    </row>
    <row r="71" spans="1:96" s="404" customFormat="1" x14ac:dyDescent="0.3">
      <c r="A71" s="404">
        <v>171</v>
      </c>
      <c r="B71" s="405">
        <v>171</v>
      </c>
      <c r="C71" s="404">
        <v>171</v>
      </c>
      <c r="D71" s="404" t="s">
        <v>217</v>
      </c>
      <c r="E71" s="404" t="s">
        <v>379</v>
      </c>
      <c r="F71" s="404">
        <v>0</v>
      </c>
      <c r="G71" s="404">
        <v>389115</v>
      </c>
      <c r="H71" s="404">
        <v>0</v>
      </c>
      <c r="I71" s="404">
        <v>241147</v>
      </c>
      <c r="J71" s="404">
        <v>0</v>
      </c>
      <c r="K71" s="404">
        <v>8541</v>
      </c>
      <c r="L71" s="404">
        <v>941243</v>
      </c>
      <c r="M71" s="404">
        <v>24844</v>
      </c>
      <c r="N71" s="404">
        <v>0</v>
      </c>
      <c r="O71" s="404">
        <v>0</v>
      </c>
      <c r="P71" s="404">
        <v>54684</v>
      </c>
      <c r="Q71" s="404">
        <v>0</v>
      </c>
      <c r="R71" s="404">
        <v>0</v>
      </c>
      <c r="S71" s="404">
        <v>248260</v>
      </c>
      <c r="T71" s="404">
        <v>0</v>
      </c>
      <c r="U71" s="404">
        <v>51733</v>
      </c>
      <c r="V71" s="404">
        <v>709459</v>
      </c>
      <c r="W71" s="404">
        <v>262269</v>
      </c>
      <c r="X71" s="404">
        <v>0</v>
      </c>
      <c r="Y71" s="404">
        <v>266687</v>
      </c>
      <c r="Z71" s="404">
        <v>70838</v>
      </c>
      <c r="AA71" s="404">
        <v>0</v>
      </c>
      <c r="AB71" s="404">
        <v>0</v>
      </c>
      <c r="AC71" s="404">
        <v>29301</v>
      </c>
      <c r="AD71" s="404">
        <v>0</v>
      </c>
      <c r="AE71" s="404">
        <v>0</v>
      </c>
      <c r="AF71" s="404">
        <v>1814296</v>
      </c>
      <c r="AG71" s="404">
        <v>0</v>
      </c>
      <c r="AH71" s="404">
        <v>2172238</v>
      </c>
      <c r="AI71" s="404">
        <v>0</v>
      </c>
      <c r="AJ71" s="404">
        <v>0</v>
      </c>
      <c r="AK71" s="404">
        <v>0</v>
      </c>
      <c r="AL71" s="404">
        <v>445463</v>
      </c>
      <c r="AM71" s="404">
        <v>142198</v>
      </c>
      <c r="AN71" s="404">
        <v>107130</v>
      </c>
      <c r="AO71" s="404">
        <v>3905</v>
      </c>
      <c r="AP71" s="404">
        <v>0</v>
      </c>
      <c r="AQ71" s="404">
        <v>0</v>
      </c>
      <c r="AR71" s="404">
        <v>0</v>
      </c>
      <c r="AS71" s="404">
        <v>6064</v>
      </c>
      <c r="AT71" s="404">
        <v>0</v>
      </c>
      <c r="AU71" s="404">
        <v>35232</v>
      </c>
      <c r="AV71" s="404">
        <v>0</v>
      </c>
      <c r="AW71" s="404">
        <v>12337</v>
      </c>
      <c r="AX71" s="404">
        <v>147517</v>
      </c>
      <c r="AY71" s="404">
        <v>27022</v>
      </c>
      <c r="AZ71" s="404">
        <v>10464408</v>
      </c>
      <c r="BA71" s="404">
        <v>0</v>
      </c>
      <c r="BB71" s="404">
        <v>256061</v>
      </c>
      <c r="BC71" s="404">
        <v>0</v>
      </c>
      <c r="BD71" s="404">
        <v>31130</v>
      </c>
      <c r="BE71" s="404">
        <v>0</v>
      </c>
      <c r="BF71" s="404">
        <v>0</v>
      </c>
      <c r="BG71" s="404">
        <v>36900</v>
      </c>
      <c r="BH71" s="404">
        <v>90366</v>
      </c>
      <c r="BI71" s="404">
        <v>170384</v>
      </c>
      <c r="BJ71" s="404">
        <v>0</v>
      </c>
      <c r="BK71" s="404">
        <v>0</v>
      </c>
      <c r="BL71" s="404">
        <v>526564</v>
      </c>
      <c r="BM71" s="404">
        <v>598640</v>
      </c>
      <c r="BN71" s="404">
        <v>298767</v>
      </c>
      <c r="BO71" s="404">
        <v>0</v>
      </c>
      <c r="BP71" s="404">
        <v>0</v>
      </c>
      <c r="BQ71" s="404">
        <v>0</v>
      </c>
      <c r="BR71" s="404">
        <v>392682</v>
      </c>
      <c r="BS71" s="404">
        <v>0</v>
      </c>
      <c r="BT71" s="404">
        <v>0</v>
      </c>
      <c r="BU71" s="404">
        <v>82597</v>
      </c>
      <c r="BV71" s="404">
        <v>399360</v>
      </c>
      <c r="BW71" s="404">
        <v>0</v>
      </c>
      <c r="BX71" s="404">
        <v>36577</v>
      </c>
      <c r="BY71" s="404">
        <v>505333</v>
      </c>
      <c r="BZ71" s="404">
        <v>0</v>
      </c>
      <c r="CA71" s="404">
        <v>0</v>
      </c>
      <c r="CB71" s="404">
        <v>308984</v>
      </c>
      <c r="CC71" s="404">
        <v>16749595</v>
      </c>
      <c r="CD71" s="404">
        <v>354165</v>
      </c>
      <c r="CE71" s="404">
        <v>13297</v>
      </c>
      <c r="CF71" s="404">
        <v>0</v>
      </c>
      <c r="CG71" s="404">
        <v>36632</v>
      </c>
      <c r="CH71" s="404">
        <v>98106</v>
      </c>
      <c r="CI71" s="404">
        <v>48732385</v>
      </c>
      <c r="CJ71" s="404">
        <v>707696</v>
      </c>
      <c r="CK71" s="404">
        <v>71422</v>
      </c>
      <c r="CL71" s="404">
        <v>271529</v>
      </c>
      <c r="CM71" s="404">
        <v>26209</v>
      </c>
      <c r="CN71" s="404">
        <v>477226</v>
      </c>
      <c r="CO71" s="404">
        <v>55068</v>
      </c>
      <c r="CP71" s="404">
        <v>98493</v>
      </c>
      <c r="CQ71" s="404">
        <v>0</v>
      </c>
      <c r="CR71" s="404">
        <v>582745</v>
      </c>
    </row>
    <row r="72" spans="1:96" s="404" customFormat="1" x14ac:dyDescent="0.3">
      <c r="A72" s="404">
        <v>191</v>
      </c>
      <c r="B72" s="405">
        <v>191</v>
      </c>
      <c r="C72" s="404">
        <v>191</v>
      </c>
      <c r="D72" s="404" t="s">
        <v>233</v>
      </c>
      <c r="E72" s="404" t="s">
        <v>380</v>
      </c>
      <c r="F72" s="404">
        <v>0</v>
      </c>
      <c r="G72" s="404">
        <v>0</v>
      </c>
      <c r="H72" s="404">
        <v>0</v>
      </c>
      <c r="I72" s="404">
        <v>1981442</v>
      </c>
      <c r="J72" s="404">
        <v>103867</v>
      </c>
      <c r="K72" s="404">
        <v>0</v>
      </c>
      <c r="L72" s="404">
        <v>0</v>
      </c>
      <c r="M72" s="404">
        <v>0</v>
      </c>
      <c r="N72" s="404">
        <v>0</v>
      </c>
      <c r="O72" s="404">
        <v>0</v>
      </c>
      <c r="P72" s="404">
        <v>882464</v>
      </c>
      <c r="Q72" s="404">
        <v>0</v>
      </c>
      <c r="R72" s="404">
        <v>0</v>
      </c>
      <c r="S72" s="404">
        <v>0</v>
      </c>
      <c r="T72" s="404">
        <v>0</v>
      </c>
      <c r="U72" s="404">
        <v>0</v>
      </c>
      <c r="V72" s="404">
        <v>0</v>
      </c>
      <c r="W72" s="404">
        <v>0</v>
      </c>
      <c r="X72" s="404">
        <v>0</v>
      </c>
      <c r="Y72" s="404">
        <v>0</v>
      </c>
      <c r="Z72" s="404">
        <v>842183</v>
      </c>
      <c r="AA72" s="404">
        <v>0</v>
      </c>
      <c r="AB72" s="404">
        <v>0</v>
      </c>
      <c r="AC72" s="404">
        <v>103349</v>
      </c>
      <c r="AD72" s="404">
        <v>0</v>
      </c>
      <c r="AE72" s="404">
        <v>85589</v>
      </c>
      <c r="AF72" s="404">
        <v>103532</v>
      </c>
      <c r="AG72" s="404">
        <v>0</v>
      </c>
      <c r="AH72" s="404">
        <v>0</v>
      </c>
      <c r="AI72" s="404">
        <v>0</v>
      </c>
      <c r="AJ72" s="404">
        <v>395824</v>
      </c>
      <c r="AK72" s="404">
        <v>86428</v>
      </c>
      <c r="AL72" s="404">
        <v>0</v>
      </c>
      <c r="AM72" s="404">
        <v>630411</v>
      </c>
      <c r="AN72" s="404">
        <v>0</v>
      </c>
      <c r="AO72" s="404">
        <v>0</v>
      </c>
      <c r="AP72" s="404">
        <v>0</v>
      </c>
      <c r="AQ72" s="404">
        <v>201624</v>
      </c>
      <c r="AR72" s="404">
        <v>0</v>
      </c>
      <c r="AS72" s="404">
        <v>0</v>
      </c>
      <c r="AT72" s="404">
        <v>0</v>
      </c>
      <c r="AU72" s="404">
        <v>0</v>
      </c>
      <c r="AV72" s="404">
        <v>0</v>
      </c>
      <c r="AW72" s="404">
        <v>0</v>
      </c>
      <c r="AX72" s="404">
        <v>0</v>
      </c>
      <c r="AY72" s="404">
        <v>0</v>
      </c>
      <c r="AZ72" s="404">
        <v>0</v>
      </c>
      <c r="BA72" s="404">
        <v>0</v>
      </c>
      <c r="BB72" s="404">
        <v>0</v>
      </c>
      <c r="BC72" s="404">
        <v>0</v>
      </c>
      <c r="BD72" s="404">
        <v>0</v>
      </c>
      <c r="BE72" s="404">
        <v>0</v>
      </c>
      <c r="BF72" s="404">
        <v>0</v>
      </c>
      <c r="BG72" s="404">
        <v>2277718</v>
      </c>
      <c r="BH72" s="404">
        <v>485782</v>
      </c>
      <c r="BI72" s="404">
        <v>60455</v>
      </c>
      <c r="BJ72" s="404">
        <v>0</v>
      </c>
      <c r="BK72" s="404">
        <v>0</v>
      </c>
      <c r="BL72" s="404">
        <v>0</v>
      </c>
      <c r="BM72" s="404">
        <v>0</v>
      </c>
      <c r="BN72" s="404">
        <v>0</v>
      </c>
      <c r="BO72" s="404">
        <v>0</v>
      </c>
      <c r="BP72" s="404">
        <v>0</v>
      </c>
      <c r="BQ72" s="404">
        <v>0</v>
      </c>
      <c r="BR72" s="404">
        <v>0</v>
      </c>
      <c r="BS72" s="404">
        <v>0</v>
      </c>
      <c r="BT72" s="404">
        <v>0</v>
      </c>
      <c r="BU72" s="404">
        <v>172879</v>
      </c>
      <c r="BV72" s="404">
        <v>0</v>
      </c>
      <c r="BW72" s="404">
        <v>0</v>
      </c>
      <c r="BX72" s="404">
        <v>100978</v>
      </c>
      <c r="BY72" s="404">
        <v>449724</v>
      </c>
      <c r="BZ72" s="404">
        <v>0</v>
      </c>
      <c r="CA72" s="404">
        <v>0</v>
      </c>
      <c r="CB72" s="404">
        <v>0</v>
      </c>
      <c r="CC72" s="404">
        <v>0</v>
      </c>
      <c r="CD72" s="404">
        <v>326294</v>
      </c>
      <c r="CE72" s="404">
        <v>989640</v>
      </c>
      <c r="CF72" s="404">
        <v>6637</v>
      </c>
      <c r="CG72" s="404">
        <v>0</v>
      </c>
      <c r="CH72" s="404">
        <v>0</v>
      </c>
      <c r="CI72" s="404">
        <v>13079474</v>
      </c>
      <c r="CJ72" s="404">
        <v>0</v>
      </c>
      <c r="CK72" s="404">
        <v>0</v>
      </c>
      <c r="CL72" s="404">
        <v>0</v>
      </c>
      <c r="CM72" s="404">
        <v>0</v>
      </c>
      <c r="CN72" s="404">
        <v>0</v>
      </c>
      <c r="CO72" s="404">
        <v>0</v>
      </c>
      <c r="CP72" s="404">
        <v>1719495</v>
      </c>
      <c r="CQ72" s="404">
        <v>0</v>
      </c>
      <c r="CR72" s="404">
        <v>0</v>
      </c>
    </row>
    <row r="73" spans="1:96" s="404" customFormat="1" x14ac:dyDescent="0.3">
      <c r="A73" s="404">
        <v>192</v>
      </c>
      <c r="B73" s="405">
        <v>192</v>
      </c>
      <c r="C73" s="404">
        <v>192</v>
      </c>
      <c r="D73" s="404" t="s">
        <v>244</v>
      </c>
      <c r="E73" s="404" t="s">
        <v>381</v>
      </c>
      <c r="F73" s="404">
        <v>0</v>
      </c>
      <c r="G73" s="404">
        <v>0</v>
      </c>
      <c r="H73" s="404">
        <v>0</v>
      </c>
      <c r="I73" s="404">
        <v>0</v>
      </c>
      <c r="J73" s="404">
        <v>0</v>
      </c>
      <c r="K73" s="404">
        <v>0</v>
      </c>
      <c r="L73" s="404">
        <v>0</v>
      </c>
      <c r="M73" s="404">
        <v>0</v>
      </c>
      <c r="N73" s="404">
        <v>0</v>
      </c>
      <c r="O73" s="404">
        <v>0</v>
      </c>
      <c r="P73" s="404">
        <v>0</v>
      </c>
      <c r="Q73" s="404">
        <v>0</v>
      </c>
      <c r="R73" s="404">
        <v>0</v>
      </c>
      <c r="S73" s="404">
        <v>0</v>
      </c>
      <c r="T73" s="404">
        <v>0</v>
      </c>
      <c r="U73" s="404">
        <v>0</v>
      </c>
      <c r="V73" s="404">
        <v>0</v>
      </c>
      <c r="W73" s="404">
        <v>0</v>
      </c>
      <c r="X73" s="404">
        <v>0</v>
      </c>
      <c r="Y73" s="404">
        <v>0</v>
      </c>
      <c r="Z73" s="404">
        <v>0</v>
      </c>
      <c r="AA73" s="404">
        <v>0</v>
      </c>
      <c r="AB73" s="404">
        <v>0</v>
      </c>
      <c r="AC73" s="404">
        <v>0</v>
      </c>
      <c r="AD73" s="404">
        <v>0</v>
      </c>
      <c r="AE73" s="404">
        <v>0</v>
      </c>
      <c r="AF73" s="404">
        <v>0</v>
      </c>
      <c r="AG73" s="404">
        <v>0</v>
      </c>
      <c r="AH73" s="404">
        <v>0</v>
      </c>
      <c r="AI73" s="404">
        <v>0</v>
      </c>
      <c r="AJ73" s="404">
        <v>0</v>
      </c>
      <c r="AK73" s="404">
        <v>0</v>
      </c>
      <c r="AL73" s="404">
        <v>0</v>
      </c>
      <c r="AM73" s="404">
        <v>0</v>
      </c>
      <c r="AN73" s="404">
        <v>0</v>
      </c>
      <c r="AO73" s="404">
        <v>0</v>
      </c>
      <c r="AP73" s="404">
        <v>0</v>
      </c>
      <c r="AQ73" s="404">
        <v>0</v>
      </c>
      <c r="AR73" s="404">
        <v>0</v>
      </c>
      <c r="AS73" s="404">
        <v>0</v>
      </c>
      <c r="AT73" s="404">
        <v>0</v>
      </c>
      <c r="AU73" s="404">
        <v>0</v>
      </c>
      <c r="AV73" s="404">
        <v>0</v>
      </c>
      <c r="AW73" s="404">
        <v>0</v>
      </c>
      <c r="AX73" s="404">
        <v>0</v>
      </c>
      <c r="AY73" s="404">
        <v>0</v>
      </c>
      <c r="AZ73" s="404">
        <v>0</v>
      </c>
      <c r="BA73" s="404">
        <v>0</v>
      </c>
      <c r="BB73" s="404">
        <v>0</v>
      </c>
      <c r="BC73" s="404">
        <v>0</v>
      </c>
      <c r="BD73" s="404">
        <v>0</v>
      </c>
      <c r="BE73" s="404">
        <v>0</v>
      </c>
      <c r="BF73" s="404">
        <v>0</v>
      </c>
      <c r="BG73" s="404">
        <v>0</v>
      </c>
      <c r="BH73" s="404">
        <v>0</v>
      </c>
      <c r="BI73" s="404">
        <v>1739</v>
      </c>
      <c r="BJ73" s="404">
        <v>0</v>
      </c>
      <c r="BK73" s="404">
        <v>0</v>
      </c>
      <c r="BL73" s="404">
        <v>0</v>
      </c>
      <c r="BM73" s="404">
        <v>180465</v>
      </c>
      <c r="BN73" s="404">
        <v>0</v>
      </c>
      <c r="BO73" s="404">
        <v>0</v>
      </c>
      <c r="BP73" s="404">
        <v>0</v>
      </c>
      <c r="BQ73" s="404">
        <v>0</v>
      </c>
      <c r="BR73" s="404">
        <v>0</v>
      </c>
      <c r="BS73" s="404">
        <v>0</v>
      </c>
      <c r="BT73" s="404">
        <v>0</v>
      </c>
      <c r="BU73" s="404">
        <v>0</v>
      </c>
      <c r="BV73" s="404">
        <v>0</v>
      </c>
      <c r="BW73" s="404">
        <v>0</v>
      </c>
      <c r="BX73" s="404">
        <v>0</v>
      </c>
      <c r="BY73" s="404">
        <v>0</v>
      </c>
      <c r="BZ73" s="404">
        <v>0</v>
      </c>
      <c r="CA73" s="404">
        <v>0</v>
      </c>
      <c r="CB73" s="404">
        <v>0</v>
      </c>
      <c r="CC73" s="404">
        <v>0</v>
      </c>
      <c r="CD73" s="404">
        <v>0</v>
      </c>
      <c r="CE73" s="404">
        <v>0</v>
      </c>
      <c r="CF73" s="404">
        <v>4949</v>
      </c>
      <c r="CG73" s="404">
        <v>0</v>
      </c>
      <c r="CH73" s="404">
        <v>0</v>
      </c>
      <c r="CI73" s="404">
        <v>0</v>
      </c>
      <c r="CJ73" s="404">
        <v>0</v>
      </c>
      <c r="CK73" s="404">
        <v>0</v>
      </c>
      <c r="CL73" s="404">
        <v>0</v>
      </c>
      <c r="CM73" s="404">
        <v>0</v>
      </c>
      <c r="CN73" s="404">
        <v>0</v>
      </c>
      <c r="CO73" s="404">
        <v>0</v>
      </c>
      <c r="CP73" s="404">
        <v>0</v>
      </c>
      <c r="CQ73" s="404">
        <v>0</v>
      </c>
      <c r="CR73" s="404">
        <v>0</v>
      </c>
    </row>
    <row r="74" spans="1:96" s="404" customFormat="1" x14ac:dyDescent="0.3">
      <c r="A74" s="404">
        <v>193</v>
      </c>
      <c r="B74" s="405"/>
      <c r="C74" s="404">
        <v>193</v>
      </c>
      <c r="D74" s="404" t="s">
        <v>382</v>
      </c>
      <c r="E74" s="404" t="s">
        <v>383</v>
      </c>
    </row>
    <row r="75" spans="1:96" s="404" customFormat="1" x14ac:dyDescent="0.3">
      <c r="A75" s="404">
        <v>194</v>
      </c>
      <c r="B75" s="405"/>
      <c r="C75" s="404">
        <v>194</v>
      </c>
      <c r="D75" s="404" t="s">
        <v>384</v>
      </c>
      <c r="E75" s="404" t="s">
        <v>385</v>
      </c>
    </row>
    <row r="76" spans="1:96" s="404" customFormat="1" x14ac:dyDescent="0.3">
      <c r="A76" s="404">
        <v>231</v>
      </c>
      <c r="B76" s="405"/>
      <c r="C76" s="404">
        <v>231</v>
      </c>
      <c r="D76" s="404" t="s">
        <v>386</v>
      </c>
      <c r="E76" s="404" t="s">
        <v>387</v>
      </c>
    </row>
    <row r="77" spans="1:96" s="404" customFormat="1" x14ac:dyDescent="0.3">
      <c r="A77" s="404">
        <v>251</v>
      </c>
      <c r="B77" s="405"/>
      <c r="C77" s="404">
        <v>251</v>
      </c>
      <c r="D77" s="404" t="s">
        <v>388</v>
      </c>
      <c r="E77" s="404" t="s">
        <v>389</v>
      </c>
    </row>
    <row r="78" spans="1:96" s="404" customFormat="1" x14ac:dyDescent="0.3">
      <c r="A78" s="404">
        <v>252</v>
      </c>
      <c r="B78" s="405">
        <v>252</v>
      </c>
      <c r="C78" s="404">
        <v>252</v>
      </c>
      <c r="D78" s="404" t="s">
        <v>103</v>
      </c>
      <c r="E78" s="404" t="s">
        <v>390</v>
      </c>
      <c r="F78" s="404">
        <v>168509</v>
      </c>
      <c r="G78" s="404">
        <v>11476374</v>
      </c>
      <c r="H78" s="404">
        <v>901524</v>
      </c>
      <c r="I78" s="404">
        <v>3428345</v>
      </c>
      <c r="J78" s="404">
        <v>1324175</v>
      </c>
      <c r="K78" s="404">
        <v>1118384</v>
      </c>
      <c r="L78" s="404">
        <v>44371100</v>
      </c>
      <c r="M78" s="404">
        <v>509435</v>
      </c>
      <c r="N78" s="404">
        <v>611749</v>
      </c>
      <c r="O78" s="404">
        <v>2059295</v>
      </c>
      <c r="P78" s="404">
        <v>724942</v>
      </c>
      <c r="Q78" s="404">
        <v>8389</v>
      </c>
      <c r="R78" s="404">
        <v>278236</v>
      </c>
      <c r="S78" s="404">
        <v>2001462</v>
      </c>
      <c r="T78" s="404">
        <v>6309385</v>
      </c>
      <c r="U78" s="404">
        <v>15660246</v>
      </c>
      <c r="V78" s="404">
        <v>13915626</v>
      </c>
      <c r="W78" s="404">
        <v>5569892</v>
      </c>
      <c r="X78" s="404">
        <v>347345</v>
      </c>
      <c r="Y78" s="404">
        <v>9212476</v>
      </c>
      <c r="Z78" s="404">
        <v>4136261</v>
      </c>
      <c r="AA78" s="404">
        <v>15146</v>
      </c>
      <c r="AB78" s="404">
        <v>10755193</v>
      </c>
      <c r="AC78" s="404">
        <v>1520635</v>
      </c>
      <c r="AD78" s="404">
        <v>906259</v>
      </c>
      <c r="AE78" s="404">
        <v>197714</v>
      </c>
      <c r="AF78" s="404">
        <v>8585370</v>
      </c>
      <c r="AG78" s="404">
        <v>1885088</v>
      </c>
      <c r="AH78" s="404">
        <v>5055069</v>
      </c>
      <c r="AI78" s="404">
        <v>4592714</v>
      </c>
      <c r="AJ78" s="404">
        <v>130633</v>
      </c>
      <c r="AK78" s="404">
        <v>3045041</v>
      </c>
      <c r="AL78" s="404">
        <v>4913127</v>
      </c>
      <c r="AM78" s="404">
        <v>5087241</v>
      </c>
      <c r="AN78" s="404">
        <v>2669236</v>
      </c>
      <c r="AO78" s="404">
        <v>62392</v>
      </c>
      <c r="AP78" s="404">
        <v>62134</v>
      </c>
      <c r="AQ78" s="404">
        <v>3272186</v>
      </c>
      <c r="AR78" s="404">
        <v>0</v>
      </c>
      <c r="AS78" s="404">
        <v>1144668</v>
      </c>
      <c r="AT78" s="404">
        <v>844123</v>
      </c>
      <c r="AU78" s="404">
        <v>278470</v>
      </c>
      <c r="AV78" s="404">
        <v>62439</v>
      </c>
      <c r="AW78" s="404">
        <v>833033</v>
      </c>
      <c r="AX78" s="404">
        <v>4698916</v>
      </c>
      <c r="AY78" s="404">
        <v>1321958</v>
      </c>
      <c r="AZ78" s="404">
        <v>236048865</v>
      </c>
      <c r="BA78" s="404">
        <v>4000263</v>
      </c>
      <c r="BB78" s="404">
        <v>6592003</v>
      </c>
      <c r="BC78" s="404">
        <v>3554342</v>
      </c>
      <c r="BD78" s="404">
        <v>1107548</v>
      </c>
      <c r="BE78" s="404">
        <v>3553698</v>
      </c>
      <c r="BF78" s="404">
        <v>54921</v>
      </c>
      <c r="BG78" s="404">
        <v>157762</v>
      </c>
      <c r="BH78" s="404">
        <v>1578308</v>
      </c>
      <c r="BI78" s="404">
        <v>20821889</v>
      </c>
      <c r="BJ78" s="404">
        <v>145003</v>
      </c>
      <c r="BK78" s="404">
        <v>9812</v>
      </c>
      <c r="BL78" s="404">
        <v>51162877</v>
      </c>
      <c r="BM78" s="404">
        <v>16286547</v>
      </c>
      <c r="BN78" s="404">
        <v>10264984</v>
      </c>
      <c r="BO78" s="404">
        <v>185029</v>
      </c>
      <c r="BP78" s="404">
        <v>2007340</v>
      </c>
      <c r="BQ78" s="404">
        <v>1238537</v>
      </c>
      <c r="BR78" s="404">
        <v>3844378</v>
      </c>
      <c r="BS78" s="404">
        <v>4290990</v>
      </c>
      <c r="BT78" s="404">
        <v>2486938</v>
      </c>
      <c r="BU78" s="404">
        <v>3005029</v>
      </c>
      <c r="BV78" s="404">
        <v>4757704</v>
      </c>
      <c r="BW78" s="404">
        <v>0</v>
      </c>
      <c r="BX78" s="404">
        <v>2604897</v>
      </c>
      <c r="BY78" s="404">
        <v>5706275</v>
      </c>
      <c r="BZ78" s="404">
        <v>156034</v>
      </c>
      <c r="CA78" s="404">
        <v>0</v>
      </c>
      <c r="CB78" s="404">
        <v>7936133</v>
      </c>
      <c r="CC78" s="404">
        <v>244648339</v>
      </c>
      <c r="CD78" s="404">
        <v>66892868</v>
      </c>
      <c r="CE78" s="404">
        <v>827779</v>
      </c>
      <c r="CF78" s="404">
        <v>6231022</v>
      </c>
      <c r="CG78" s="404">
        <v>418551</v>
      </c>
      <c r="CH78" s="404">
        <v>2454511</v>
      </c>
      <c r="CI78" s="404">
        <v>205988821</v>
      </c>
      <c r="CJ78" s="404">
        <v>21355963</v>
      </c>
      <c r="CK78" s="404">
        <v>233720</v>
      </c>
      <c r="CL78" s="404">
        <v>2285857</v>
      </c>
      <c r="CM78" s="404">
        <v>386592</v>
      </c>
      <c r="CN78" s="404">
        <v>12829207</v>
      </c>
      <c r="CO78" s="404">
        <v>5040171</v>
      </c>
      <c r="CP78" s="404">
        <v>2564432</v>
      </c>
      <c r="CQ78" s="404">
        <v>1247688</v>
      </c>
      <c r="CR78" s="404">
        <v>29296465</v>
      </c>
    </row>
    <row r="79" spans="1:96" s="404" customFormat="1" x14ac:dyDescent="0.3">
      <c r="A79" s="404">
        <v>253</v>
      </c>
      <c r="B79" s="405">
        <v>253</v>
      </c>
      <c r="C79" s="404">
        <v>253</v>
      </c>
      <c r="D79" s="404" t="s">
        <v>104</v>
      </c>
      <c r="E79" s="404" t="s">
        <v>391</v>
      </c>
      <c r="F79" s="404">
        <v>286849</v>
      </c>
      <c r="G79" s="404">
        <v>745913</v>
      </c>
      <c r="H79" s="404">
        <v>126411</v>
      </c>
      <c r="I79" s="404">
        <v>850902</v>
      </c>
      <c r="J79" s="404">
        <v>221642</v>
      </c>
      <c r="K79" s="404">
        <v>250306</v>
      </c>
      <c r="L79" s="404">
        <v>6273851</v>
      </c>
      <c r="M79" s="404">
        <v>86745</v>
      </c>
      <c r="N79" s="404">
        <v>87042</v>
      </c>
      <c r="O79" s="404">
        <v>101329</v>
      </c>
      <c r="P79" s="404">
        <v>382869</v>
      </c>
      <c r="Q79" s="404">
        <v>76455</v>
      </c>
      <c r="R79" s="404">
        <v>116781</v>
      </c>
      <c r="S79" s="404">
        <v>119615</v>
      </c>
      <c r="T79" s="404">
        <v>174859</v>
      </c>
      <c r="U79" s="404">
        <v>4222167</v>
      </c>
      <c r="V79" s="404">
        <v>4189015</v>
      </c>
      <c r="W79" s="404">
        <v>691177</v>
      </c>
      <c r="X79" s="404">
        <v>93300</v>
      </c>
      <c r="Y79" s="404">
        <v>2510799</v>
      </c>
      <c r="Z79" s="404">
        <v>1126746</v>
      </c>
      <c r="AA79" s="404">
        <v>13364</v>
      </c>
      <c r="AB79" s="404">
        <v>2868922</v>
      </c>
      <c r="AC79" s="404">
        <v>406092</v>
      </c>
      <c r="AD79" s="404">
        <v>680285</v>
      </c>
      <c r="AE79" s="404">
        <v>125413</v>
      </c>
      <c r="AF79" s="404">
        <v>6126594</v>
      </c>
      <c r="AG79" s="404">
        <v>777245</v>
      </c>
      <c r="AH79" s="404">
        <v>332380</v>
      </c>
      <c r="AI79" s="404">
        <v>547990</v>
      </c>
      <c r="AJ79" s="404">
        <v>45332</v>
      </c>
      <c r="AK79" s="404">
        <v>2456634</v>
      </c>
      <c r="AL79" s="404">
        <v>354923</v>
      </c>
      <c r="AM79" s="404">
        <v>1672778</v>
      </c>
      <c r="AN79" s="404">
        <v>883318</v>
      </c>
      <c r="AO79" s="404">
        <v>32141</v>
      </c>
      <c r="AP79" s="404">
        <v>57129</v>
      </c>
      <c r="AQ79" s="404">
        <v>858321</v>
      </c>
      <c r="AR79" s="404">
        <v>0</v>
      </c>
      <c r="AS79" s="404">
        <v>88283</v>
      </c>
      <c r="AT79" s="404">
        <v>39860</v>
      </c>
      <c r="AU79" s="404">
        <v>255682</v>
      </c>
      <c r="AV79" s="404">
        <v>135757</v>
      </c>
      <c r="AW79" s="404">
        <v>186652</v>
      </c>
      <c r="AX79" s="404">
        <v>958378</v>
      </c>
      <c r="AY79" s="404">
        <v>144969</v>
      </c>
      <c r="AZ79" s="404">
        <v>4189143</v>
      </c>
      <c r="BA79" s="404">
        <v>906151</v>
      </c>
      <c r="BB79" s="404">
        <v>1038813</v>
      </c>
      <c r="BC79" s="404">
        <v>152792</v>
      </c>
      <c r="BD79" s="404">
        <v>193056</v>
      </c>
      <c r="BE79" s="404">
        <v>137654</v>
      </c>
      <c r="BF79" s="404">
        <v>55927</v>
      </c>
      <c r="BG79" s="404">
        <v>262166</v>
      </c>
      <c r="BH79" s="404">
        <v>754209</v>
      </c>
      <c r="BI79" s="404">
        <v>8801288</v>
      </c>
      <c r="BJ79" s="404">
        <v>73035</v>
      </c>
      <c r="BK79" s="404">
        <v>35501</v>
      </c>
      <c r="BL79" s="404">
        <v>5745059</v>
      </c>
      <c r="BM79" s="404">
        <v>2471867</v>
      </c>
      <c r="BN79" s="404">
        <v>792934</v>
      </c>
      <c r="BO79" s="404">
        <v>13429</v>
      </c>
      <c r="BP79" s="404">
        <v>186011</v>
      </c>
      <c r="BQ79" s="404">
        <v>498337</v>
      </c>
      <c r="BR79" s="404">
        <v>452383</v>
      </c>
      <c r="BS79" s="404">
        <v>142885</v>
      </c>
      <c r="BT79" s="404">
        <v>224512</v>
      </c>
      <c r="BU79" s="404">
        <v>870212</v>
      </c>
      <c r="BV79" s="404">
        <v>1477122</v>
      </c>
      <c r="BW79" s="404">
        <v>0</v>
      </c>
      <c r="BX79" s="404">
        <v>265852</v>
      </c>
      <c r="BY79" s="404">
        <v>927665</v>
      </c>
      <c r="BZ79" s="404">
        <v>15904</v>
      </c>
      <c r="CA79" s="404">
        <v>0</v>
      </c>
      <c r="CB79" s="404">
        <v>4824810</v>
      </c>
      <c r="CC79" s="404">
        <v>55579604</v>
      </c>
      <c r="CD79" s="404">
        <v>7167385</v>
      </c>
      <c r="CE79" s="404">
        <v>235968</v>
      </c>
      <c r="CF79" s="404">
        <v>1925739</v>
      </c>
      <c r="CG79" s="404">
        <v>81669</v>
      </c>
      <c r="CH79" s="404">
        <v>305760</v>
      </c>
      <c r="CI79" s="404">
        <v>77921104</v>
      </c>
      <c r="CJ79" s="404">
        <v>1533674</v>
      </c>
      <c r="CK79" s="404">
        <v>281608</v>
      </c>
      <c r="CL79" s="404">
        <v>393340</v>
      </c>
      <c r="CM79" s="404">
        <v>227123</v>
      </c>
      <c r="CN79" s="404">
        <v>904889</v>
      </c>
      <c r="CO79" s="404">
        <v>617750</v>
      </c>
      <c r="CP79" s="404">
        <v>417981</v>
      </c>
      <c r="CQ79" s="404">
        <v>335328</v>
      </c>
      <c r="CR79" s="404">
        <v>1995272</v>
      </c>
    </row>
    <row r="80" spans="1:96" s="404" customFormat="1" x14ac:dyDescent="0.3">
      <c r="A80" s="404">
        <v>254</v>
      </c>
      <c r="B80" s="405">
        <v>254</v>
      </c>
      <c r="C80" s="404">
        <v>254</v>
      </c>
      <c r="D80" s="404" t="s">
        <v>105</v>
      </c>
      <c r="E80" s="404" t="s">
        <v>392</v>
      </c>
      <c r="F80" s="404">
        <v>434303</v>
      </c>
      <c r="G80" s="404">
        <v>8933072</v>
      </c>
      <c r="H80" s="404">
        <v>753478</v>
      </c>
      <c r="I80" s="404">
        <v>260068</v>
      </c>
      <c r="J80" s="404">
        <v>282932</v>
      </c>
      <c r="K80" s="404">
        <v>740612</v>
      </c>
      <c r="L80" s="404">
        <v>20128176</v>
      </c>
      <c r="M80" s="404">
        <v>-301016</v>
      </c>
      <c r="N80" s="404">
        <v>250135</v>
      </c>
      <c r="O80" s="404">
        <v>2924121</v>
      </c>
      <c r="P80" s="404">
        <v>287541</v>
      </c>
      <c r="Q80" s="404">
        <v>259984</v>
      </c>
      <c r="R80" s="404">
        <v>287694</v>
      </c>
      <c r="S80" s="404">
        <v>990203</v>
      </c>
      <c r="T80" s="404">
        <v>6758355</v>
      </c>
      <c r="U80" s="404">
        <v>202830</v>
      </c>
      <c r="V80" s="404">
        <v>11611889</v>
      </c>
      <c r="W80" s="404">
        <v>1532760</v>
      </c>
      <c r="X80" s="404">
        <v>3790693</v>
      </c>
      <c r="Y80" s="404">
        <v>5687135</v>
      </c>
      <c r="Z80" s="404">
        <v>1666742</v>
      </c>
      <c r="AA80" s="404">
        <v>65890</v>
      </c>
      <c r="AB80" s="404">
        <v>-17538934</v>
      </c>
      <c r="AC80" s="404">
        <v>-764066</v>
      </c>
      <c r="AD80" s="404">
        <v>471008</v>
      </c>
      <c r="AE80" s="404">
        <v>581011</v>
      </c>
      <c r="AF80" s="404">
        <v>-2200857</v>
      </c>
      <c r="AG80" s="404">
        <v>1303533</v>
      </c>
      <c r="AH80" s="404">
        <v>6486191</v>
      </c>
      <c r="AI80" s="404">
        <v>2319784</v>
      </c>
      <c r="AJ80" s="404">
        <v>667389</v>
      </c>
      <c r="AK80" s="404">
        <v>6431733</v>
      </c>
      <c r="AL80" s="404">
        <v>1898033</v>
      </c>
      <c r="AM80" s="404">
        <v>193495</v>
      </c>
      <c r="AN80" s="404">
        <v>773949</v>
      </c>
      <c r="AO80" s="404">
        <v>96193</v>
      </c>
      <c r="AP80" s="404">
        <v>3076991</v>
      </c>
      <c r="AQ80" s="404">
        <v>4596616</v>
      </c>
      <c r="AR80" s="404">
        <v>0</v>
      </c>
      <c r="AS80" s="404">
        <v>377725</v>
      </c>
      <c r="AT80" s="404">
        <v>1585382</v>
      </c>
      <c r="AU80" s="404">
        <v>322656</v>
      </c>
      <c r="AV80" s="404">
        <v>63400</v>
      </c>
      <c r="AW80" s="404">
        <v>-88932</v>
      </c>
      <c r="AX80" s="404">
        <v>-3035224</v>
      </c>
      <c r="AY80" s="404">
        <v>946151</v>
      </c>
      <c r="AZ80" s="404">
        <v>-7847750</v>
      </c>
      <c r="BA80" s="404">
        <v>4010028</v>
      </c>
      <c r="BB80" s="404">
        <v>1020854</v>
      </c>
      <c r="BC80" s="404">
        <v>3526340</v>
      </c>
      <c r="BD80" s="404">
        <v>1236993</v>
      </c>
      <c r="BE80" s="404">
        <v>1314971</v>
      </c>
      <c r="BF80" s="404">
        <v>224291</v>
      </c>
      <c r="BG80" s="404">
        <v>833278</v>
      </c>
      <c r="BH80" s="404">
        <v>2103413</v>
      </c>
      <c r="BI80" s="404">
        <v>88748</v>
      </c>
      <c r="BJ80" s="404">
        <v>350462</v>
      </c>
      <c r="BK80" s="404">
        <v>240710</v>
      </c>
      <c r="BL80" s="404">
        <v>8705566</v>
      </c>
      <c r="BM80" s="404">
        <v>1605461</v>
      </c>
      <c r="BN80" s="404">
        <v>4405368</v>
      </c>
      <c r="BO80" s="404">
        <v>126372</v>
      </c>
      <c r="BP80" s="404">
        <v>3306152</v>
      </c>
      <c r="BQ80" s="404">
        <v>1200745</v>
      </c>
      <c r="BR80" s="404">
        <v>1463110</v>
      </c>
      <c r="BS80" s="404">
        <v>1679446</v>
      </c>
      <c r="BT80" s="404">
        <v>1470665</v>
      </c>
      <c r="BU80" s="404">
        <v>1626665</v>
      </c>
      <c r="BV80" s="404">
        <v>886862</v>
      </c>
      <c r="BW80" s="404">
        <v>0</v>
      </c>
      <c r="BX80" s="404">
        <v>739442</v>
      </c>
      <c r="BY80" s="404">
        <v>88987</v>
      </c>
      <c r="BZ80" s="404">
        <v>600946</v>
      </c>
      <c r="CA80" s="404">
        <v>0</v>
      </c>
      <c r="CB80" s="404">
        <v>-4163387</v>
      </c>
      <c r="CC80" s="404">
        <v>52073409</v>
      </c>
      <c r="CD80" s="404">
        <v>-11612656</v>
      </c>
      <c r="CE80" s="404">
        <v>1065422</v>
      </c>
      <c r="CF80" s="404">
        <v>-800861</v>
      </c>
      <c r="CG80" s="404">
        <v>199941</v>
      </c>
      <c r="CH80" s="404">
        <v>808195</v>
      </c>
      <c r="CI80" s="404">
        <v>21234750</v>
      </c>
      <c r="CJ80" s="404">
        <v>4645350</v>
      </c>
      <c r="CK80" s="404">
        <v>1083370</v>
      </c>
      <c r="CL80" s="404">
        <v>-522964</v>
      </c>
      <c r="CM80" s="404">
        <v>1007886</v>
      </c>
      <c r="CN80" s="404">
        <v>10926633</v>
      </c>
      <c r="CO80" s="404">
        <v>2034002</v>
      </c>
      <c r="CP80" s="404">
        <v>1673534</v>
      </c>
      <c r="CQ80" s="404">
        <v>2019320</v>
      </c>
      <c r="CR80" s="404">
        <v>4088548</v>
      </c>
    </row>
    <row r="81" spans="1:96" s="404" customFormat="1" x14ac:dyDescent="0.3">
      <c r="A81" s="404">
        <v>255</v>
      </c>
      <c r="B81" s="405">
        <v>255</v>
      </c>
      <c r="C81" s="404">
        <v>255</v>
      </c>
      <c r="D81" s="404" t="s">
        <v>197</v>
      </c>
      <c r="E81" s="404" t="s">
        <v>393</v>
      </c>
      <c r="F81" s="404">
        <v>30429</v>
      </c>
      <c r="G81" s="404">
        <v>-1413948</v>
      </c>
      <c r="H81" s="404">
        <v>47295</v>
      </c>
      <c r="I81" s="404">
        <v>-922092</v>
      </c>
      <c r="J81" s="404">
        <v>-32012</v>
      </c>
      <c r="K81" s="404">
        <v>72849</v>
      </c>
      <c r="L81" s="404">
        <v>2458083</v>
      </c>
      <c r="M81" s="404">
        <v>154447</v>
      </c>
      <c r="N81" s="404">
        <v>104966</v>
      </c>
      <c r="O81" s="404">
        <v>-163672</v>
      </c>
      <c r="P81" s="404">
        <v>127120</v>
      </c>
      <c r="Q81" s="404">
        <v>18448</v>
      </c>
      <c r="R81" s="404">
        <v>12160</v>
      </c>
      <c r="S81" s="404">
        <v>104403</v>
      </c>
      <c r="T81" s="404">
        <v>-46642</v>
      </c>
      <c r="U81" s="404">
        <v>1333429</v>
      </c>
      <c r="V81" s="404">
        <v>-3157630</v>
      </c>
      <c r="W81" s="404">
        <v>284579</v>
      </c>
      <c r="X81" s="404">
        <v>239245</v>
      </c>
      <c r="Y81" s="404">
        <v>2725824</v>
      </c>
      <c r="Z81" s="404">
        <v>325671</v>
      </c>
      <c r="AA81" s="404">
        <v>-22545</v>
      </c>
      <c r="AB81" s="404">
        <v>-1064363</v>
      </c>
      <c r="AC81" s="404">
        <v>97966</v>
      </c>
      <c r="AD81" s="404">
        <v>155943</v>
      </c>
      <c r="AE81" s="404">
        <v>28237</v>
      </c>
      <c r="AF81" s="404">
        <v>-896131</v>
      </c>
      <c r="AG81" s="404">
        <v>-116802</v>
      </c>
      <c r="AH81" s="404">
        <v>-1744425</v>
      </c>
      <c r="AI81" s="404">
        <v>187875</v>
      </c>
      <c r="AJ81" s="404">
        <v>161822</v>
      </c>
      <c r="AK81" s="404">
        <v>565301</v>
      </c>
      <c r="AL81" s="404">
        <v>1173500</v>
      </c>
      <c r="AM81" s="404">
        <v>-78903</v>
      </c>
      <c r="AN81" s="404">
        <v>186034</v>
      </c>
      <c r="AO81" s="404">
        <v>-30560</v>
      </c>
      <c r="AP81" s="404">
        <v>163029</v>
      </c>
      <c r="AQ81" s="404">
        <v>219952</v>
      </c>
      <c r="AR81" s="404">
        <v>0</v>
      </c>
      <c r="AS81" s="404">
        <v>97572</v>
      </c>
      <c r="AT81" s="404">
        <v>159987</v>
      </c>
      <c r="AU81" s="404">
        <v>92786</v>
      </c>
      <c r="AV81" s="404">
        <v>-4866</v>
      </c>
      <c r="AW81" s="404">
        <v>48563</v>
      </c>
      <c r="AX81" s="404">
        <v>1122736</v>
      </c>
      <c r="AY81" s="404">
        <v>61986</v>
      </c>
      <c r="AZ81" s="404">
        <v>13659437</v>
      </c>
      <c r="BA81" s="404">
        <v>-47713</v>
      </c>
      <c r="BB81" s="404">
        <v>272941</v>
      </c>
      <c r="BC81" s="404">
        <v>700474</v>
      </c>
      <c r="BD81" s="404">
        <v>163384</v>
      </c>
      <c r="BE81" s="404">
        <v>223172</v>
      </c>
      <c r="BF81" s="404">
        <v>21117</v>
      </c>
      <c r="BG81" s="404">
        <v>41323</v>
      </c>
      <c r="BH81" s="404">
        <v>300380</v>
      </c>
      <c r="BI81" s="404">
        <v>438125</v>
      </c>
      <c r="BJ81" s="404">
        <v>50296</v>
      </c>
      <c r="BK81" s="404">
        <v>4160</v>
      </c>
      <c r="BL81" s="404">
        <v>3873721</v>
      </c>
      <c r="BM81" s="404">
        <v>1201645</v>
      </c>
      <c r="BN81" s="404">
        <v>330572</v>
      </c>
      <c r="BO81" s="404">
        <v>-20747</v>
      </c>
      <c r="BP81" s="404">
        <v>316833</v>
      </c>
      <c r="BQ81" s="404">
        <v>-311857</v>
      </c>
      <c r="BR81" s="404">
        <v>216976</v>
      </c>
      <c r="BS81" s="404">
        <v>326649</v>
      </c>
      <c r="BT81" s="404">
        <v>451264</v>
      </c>
      <c r="BU81" s="404">
        <v>546723</v>
      </c>
      <c r="BV81" s="404">
        <v>328186</v>
      </c>
      <c r="BW81" s="404">
        <v>0</v>
      </c>
      <c r="BX81" s="404">
        <v>218366</v>
      </c>
      <c r="BY81" s="404">
        <v>629866</v>
      </c>
      <c r="BZ81" s="404">
        <v>15627</v>
      </c>
      <c r="CA81" s="404">
        <v>0</v>
      </c>
      <c r="CB81" s="404">
        <v>-234016</v>
      </c>
      <c r="CC81" s="404">
        <v>39251233</v>
      </c>
      <c r="CD81" s="404">
        <v>5118514</v>
      </c>
      <c r="CE81" s="404">
        <v>130950</v>
      </c>
      <c r="CF81" s="404">
        <v>425437</v>
      </c>
      <c r="CG81" s="404">
        <v>-41192</v>
      </c>
      <c r="CH81" s="404">
        <v>518476</v>
      </c>
      <c r="CI81" s="404">
        <v>11660395</v>
      </c>
      <c r="CJ81" s="404">
        <v>599273</v>
      </c>
      <c r="CK81" s="404">
        <v>231304</v>
      </c>
      <c r="CL81" s="404">
        <v>367381</v>
      </c>
      <c r="CM81" s="404">
        <v>104585</v>
      </c>
      <c r="CN81" s="404">
        <v>3268605</v>
      </c>
      <c r="CO81" s="404">
        <v>261714</v>
      </c>
      <c r="CP81" s="404">
        <v>287414</v>
      </c>
      <c r="CQ81" s="404">
        <v>886049</v>
      </c>
      <c r="CR81" s="404">
        <v>4170052</v>
      </c>
    </row>
    <row r="82" spans="1:96" s="404" customFormat="1" x14ac:dyDescent="0.3">
      <c r="A82" s="404">
        <v>274</v>
      </c>
      <c r="B82" s="405"/>
      <c r="C82" s="404">
        <v>274</v>
      </c>
      <c r="D82" s="404" t="s">
        <v>394</v>
      </c>
      <c r="E82" s="404" t="s">
        <v>395</v>
      </c>
    </row>
    <row r="83" spans="1:96" s="404" customFormat="1" x14ac:dyDescent="0.3">
      <c r="A83" s="404">
        <v>294</v>
      </c>
      <c r="B83" s="405"/>
      <c r="C83" s="404">
        <v>294</v>
      </c>
      <c r="D83" s="404" t="s">
        <v>1768</v>
      </c>
      <c r="E83" s="404" t="s">
        <v>396</v>
      </c>
    </row>
    <row r="84" spans="1:96" s="404" customFormat="1" x14ac:dyDescent="0.3">
      <c r="A84" s="404">
        <v>314</v>
      </c>
      <c r="B84" s="405"/>
      <c r="C84" s="404">
        <v>314</v>
      </c>
      <c r="D84" s="404" t="s">
        <v>397</v>
      </c>
      <c r="E84" s="404" t="s">
        <v>398</v>
      </c>
    </row>
    <row r="85" spans="1:96" s="404" customFormat="1" x14ac:dyDescent="0.3">
      <c r="A85" s="404">
        <v>315</v>
      </c>
      <c r="B85" s="405"/>
      <c r="C85" s="404">
        <v>315</v>
      </c>
      <c r="D85" s="404" t="s">
        <v>399</v>
      </c>
      <c r="E85" s="404" t="s">
        <v>400</v>
      </c>
    </row>
    <row r="86" spans="1:96" s="404" customFormat="1" x14ac:dyDescent="0.3">
      <c r="A86" s="404">
        <v>316</v>
      </c>
      <c r="B86" s="405"/>
      <c r="C86" s="404">
        <v>316</v>
      </c>
      <c r="D86" s="404" t="s">
        <v>401</v>
      </c>
      <c r="E86" s="404" t="s">
        <v>402</v>
      </c>
    </row>
    <row r="87" spans="1:96" s="404" customFormat="1" x14ac:dyDescent="0.3">
      <c r="A87" s="404">
        <v>320</v>
      </c>
      <c r="B87" s="405"/>
      <c r="C87" s="404">
        <v>320</v>
      </c>
      <c r="D87" s="404" t="s">
        <v>1769</v>
      </c>
      <c r="E87" s="404" t="s">
        <v>403</v>
      </c>
      <c r="F87" s="404">
        <v>0</v>
      </c>
      <c r="G87" s="404">
        <v>0</v>
      </c>
      <c r="H87" s="404">
        <v>0</v>
      </c>
      <c r="I87" s="404">
        <v>0</v>
      </c>
      <c r="J87" s="404">
        <v>0</v>
      </c>
      <c r="K87" s="404">
        <v>0</v>
      </c>
      <c r="L87" s="404">
        <v>0</v>
      </c>
      <c r="M87" s="404">
        <v>0</v>
      </c>
      <c r="N87" s="404">
        <v>0</v>
      </c>
      <c r="O87" s="404">
        <v>0</v>
      </c>
      <c r="P87" s="404">
        <v>0</v>
      </c>
      <c r="Q87" s="404">
        <v>0</v>
      </c>
      <c r="R87" s="404">
        <v>0</v>
      </c>
      <c r="S87" s="404">
        <v>0</v>
      </c>
      <c r="T87" s="404">
        <v>0</v>
      </c>
      <c r="U87" s="404">
        <v>0</v>
      </c>
      <c r="V87" s="404">
        <v>0</v>
      </c>
      <c r="W87" s="404">
        <v>0</v>
      </c>
      <c r="X87" s="404">
        <v>0</v>
      </c>
      <c r="Y87" s="404">
        <v>0</v>
      </c>
      <c r="Z87" s="404">
        <v>0</v>
      </c>
      <c r="AA87" s="404">
        <v>0</v>
      </c>
      <c r="AB87" s="404">
        <v>0</v>
      </c>
      <c r="AC87" s="404">
        <v>0</v>
      </c>
      <c r="AD87" s="404">
        <v>0</v>
      </c>
      <c r="AE87" s="404">
        <v>0</v>
      </c>
      <c r="AF87" s="404">
        <v>0</v>
      </c>
      <c r="AG87" s="404">
        <v>0</v>
      </c>
      <c r="AH87" s="404">
        <v>0</v>
      </c>
      <c r="AI87" s="404">
        <v>0</v>
      </c>
      <c r="AJ87" s="404">
        <v>0</v>
      </c>
      <c r="AK87" s="404">
        <v>0</v>
      </c>
      <c r="AL87" s="404">
        <v>0</v>
      </c>
      <c r="AM87" s="404">
        <v>0</v>
      </c>
      <c r="AN87" s="404">
        <v>0</v>
      </c>
      <c r="AO87" s="404">
        <v>0</v>
      </c>
      <c r="AP87" s="404">
        <v>0</v>
      </c>
      <c r="AQ87" s="404">
        <v>0</v>
      </c>
      <c r="AR87" s="404">
        <v>0</v>
      </c>
      <c r="AS87" s="404">
        <v>0</v>
      </c>
      <c r="AT87" s="404">
        <v>0</v>
      </c>
      <c r="AU87" s="404">
        <v>0</v>
      </c>
      <c r="AV87" s="404">
        <v>0</v>
      </c>
      <c r="AW87" s="404">
        <v>0</v>
      </c>
      <c r="AX87" s="404">
        <v>0</v>
      </c>
      <c r="AY87" s="404">
        <v>0</v>
      </c>
      <c r="AZ87" s="404">
        <v>0</v>
      </c>
      <c r="BA87" s="404">
        <v>0</v>
      </c>
      <c r="BB87" s="404">
        <v>0</v>
      </c>
      <c r="BC87" s="404">
        <v>0</v>
      </c>
      <c r="BD87" s="404">
        <v>0</v>
      </c>
      <c r="BE87" s="404">
        <v>0</v>
      </c>
      <c r="BF87" s="404">
        <v>0</v>
      </c>
      <c r="BG87" s="404">
        <v>0</v>
      </c>
      <c r="BH87" s="404">
        <v>0</v>
      </c>
      <c r="BI87" s="404">
        <v>0</v>
      </c>
      <c r="BJ87" s="404">
        <v>0</v>
      </c>
      <c r="BK87" s="404">
        <v>0</v>
      </c>
      <c r="BL87" s="404">
        <v>0</v>
      </c>
      <c r="BM87" s="404">
        <v>0</v>
      </c>
      <c r="BN87" s="404">
        <v>0</v>
      </c>
      <c r="BO87" s="404">
        <v>0</v>
      </c>
      <c r="BP87" s="404">
        <v>0</v>
      </c>
      <c r="BQ87" s="404">
        <v>0</v>
      </c>
      <c r="BR87" s="404">
        <v>0</v>
      </c>
      <c r="BS87" s="404">
        <v>0</v>
      </c>
      <c r="BT87" s="404">
        <v>0</v>
      </c>
      <c r="BU87" s="404">
        <v>0</v>
      </c>
      <c r="BV87" s="404">
        <v>0</v>
      </c>
      <c r="BW87" s="404">
        <v>0</v>
      </c>
      <c r="BX87" s="404">
        <v>0</v>
      </c>
      <c r="BY87" s="404">
        <v>0</v>
      </c>
      <c r="BZ87" s="404">
        <v>0</v>
      </c>
      <c r="CA87" s="404">
        <v>0</v>
      </c>
      <c r="CB87" s="404">
        <v>0</v>
      </c>
      <c r="CC87" s="404">
        <v>0</v>
      </c>
      <c r="CD87" s="404">
        <v>0</v>
      </c>
      <c r="CE87" s="404">
        <v>0</v>
      </c>
      <c r="CF87" s="404">
        <v>0</v>
      </c>
      <c r="CG87" s="404">
        <v>0</v>
      </c>
      <c r="CH87" s="404">
        <v>0</v>
      </c>
      <c r="CI87" s="404">
        <v>0</v>
      </c>
      <c r="CJ87" s="404">
        <v>0</v>
      </c>
      <c r="CK87" s="404">
        <v>0</v>
      </c>
      <c r="CL87" s="404">
        <v>0</v>
      </c>
      <c r="CM87" s="404">
        <v>0</v>
      </c>
      <c r="CN87" s="404">
        <v>0</v>
      </c>
      <c r="CO87" s="404">
        <v>0</v>
      </c>
      <c r="CP87" s="404">
        <v>0</v>
      </c>
      <c r="CQ87" s="404">
        <v>0</v>
      </c>
      <c r="CR87" s="404">
        <v>0</v>
      </c>
    </row>
    <row r="88" spans="1:96" s="404" customFormat="1" x14ac:dyDescent="0.3">
      <c r="A88" s="404">
        <v>321</v>
      </c>
      <c r="B88" s="405"/>
      <c r="C88" s="404">
        <v>321</v>
      </c>
      <c r="D88" s="404" t="s">
        <v>1770</v>
      </c>
      <c r="E88" s="404" t="s">
        <v>404</v>
      </c>
      <c r="F88" s="404">
        <v>0</v>
      </c>
      <c r="G88" s="404">
        <v>0</v>
      </c>
      <c r="H88" s="404">
        <v>0</v>
      </c>
      <c r="I88" s="404">
        <v>0</v>
      </c>
      <c r="J88" s="404">
        <v>0</v>
      </c>
      <c r="K88" s="404">
        <v>0</v>
      </c>
      <c r="L88" s="404">
        <v>0</v>
      </c>
      <c r="M88" s="404">
        <v>0</v>
      </c>
      <c r="N88" s="404">
        <v>0</v>
      </c>
      <c r="O88" s="404">
        <v>0</v>
      </c>
      <c r="P88" s="404">
        <v>0</v>
      </c>
      <c r="Q88" s="404">
        <v>0</v>
      </c>
      <c r="R88" s="404">
        <v>0</v>
      </c>
      <c r="S88" s="404">
        <v>0</v>
      </c>
      <c r="T88" s="404">
        <v>0</v>
      </c>
      <c r="U88" s="404">
        <v>0</v>
      </c>
      <c r="V88" s="404">
        <v>0</v>
      </c>
      <c r="W88" s="404">
        <v>0</v>
      </c>
      <c r="X88" s="404">
        <v>0</v>
      </c>
      <c r="Y88" s="404">
        <v>0</v>
      </c>
      <c r="Z88" s="404">
        <v>0</v>
      </c>
      <c r="AA88" s="404">
        <v>0</v>
      </c>
      <c r="AB88" s="404">
        <v>0</v>
      </c>
      <c r="AC88" s="404">
        <v>0</v>
      </c>
      <c r="AD88" s="404">
        <v>0</v>
      </c>
      <c r="AE88" s="404">
        <v>0</v>
      </c>
      <c r="AF88" s="404">
        <v>0</v>
      </c>
      <c r="AG88" s="404">
        <v>0</v>
      </c>
      <c r="AH88" s="404">
        <v>0</v>
      </c>
      <c r="AI88" s="404">
        <v>0</v>
      </c>
      <c r="AJ88" s="404">
        <v>0</v>
      </c>
      <c r="AK88" s="404">
        <v>0</v>
      </c>
      <c r="AL88" s="404">
        <v>0</v>
      </c>
      <c r="AM88" s="404">
        <v>0</v>
      </c>
      <c r="AN88" s="404">
        <v>0</v>
      </c>
      <c r="AO88" s="404">
        <v>0</v>
      </c>
      <c r="AP88" s="404">
        <v>0</v>
      </c>
      <c r="AQ88" s="404">
        <v>0</v>
      </c>
      <c r="AR88" s="404">
        <v>0</v>
      </c>
      <c r="AS88" s="404">
        <v>0</v>
      </c>
      <c r="AT88" s="404">
        <v>0</v>
      </c>
      <c r="AU88" s="404">
        <v>0</v>
      </c>
      <c r="AV88" s="404">
        <v>0</v>
      </c>
      <c r="AW88" s="404">
        <v>0</v>
      </c>
      <c r="AX88" s="404">
        <v>0</v>
      </c>
      <c r="AY88" s="404">
        <v>0</v>
      </c>
      <c r="AZ88" s="404">
        <v>0</v>
      </c>
      <c r="BA88" s="404">
        <v>0</v>
      </c>
      <c r="BB88" s="404">
        <v>0</v>
      </c>
      <c r="BC88" s="404">
        <v>0</v>
      </c>
      <c r="BD88" s="404">
        <v>0</v>
      </c>
      <c r="BE88" s="404">
        <v>0</v>
      </c>
      <c r="BF88" s="404">
        <v>0</v>
      </c>
      <c r="BG88" s="404">
        <v>0</v>
      </c>
      <c r="BH88" s="404">
        <v>0</v>
      </c>
      <c r="BI88" s="404">
        <v>0</v>
      </c>
      <c r="BJ88" s="404">
        <v>0</v>
      </c>
      <c r="BK88" s="404">
        <v>0</v>
      </c>
      <c r="BL88" s="404">
        <v>0</v>
      </c>
      <c r="BM88" s="404">
        <v>0</v>
      </c>
      <c r="BN88" s="404">
        <v>0</v>
      </c>
      <c r="BO88" s="404">
        <v>0</v>
      </c>
      <c r="BP88" s="404">
        <v>0</v>
      </c>
      <c r="BQ88" s="404">
        <v>0</v>
      </c>
      <c r="BR88" s="404">
        <v>0</v>
      </c>
      <c r="BS88" s="404">
        <v>0</v>
      </c>
      <c r="BT88" s="404">
        <v>0</v>
      </c>
      <c r="BU88" s="404">
        <v>0</v>
      </c>
      <c r="BV88" s="404">
        <v>0</v>
      </c>
      <c r="BW88" s="404">
        <v>0</v>
      </c>
      <c r="BX88" s="404">
        <v>0</v>
      </c>
      <c r="BY88" s="404">
        <v>0</v>
      </c>
      <c r="BZ88" s="404">
        <v>0</v>
      </c>
      <c r="CA88" s="404">
        <v>0</v>
      </c>
      <c r="CB88" s="404">
        <v>0</v>
      </c>
      <c r="CC88" s="404">
        <v>0</v>
      </c>
      <c r="CD88" s="404">
        <v>0</v>
      </c>
      <c r="CE88" s="404">
        <v>0</v>
      </c>
      <c r="CF88" s="404">
        <v>0</v>
      </c>
      <c r="CG88" s="404">
        <v>0</v>
      </c>
      <c r="CH88" s="404">
        <v>0</v>
      </c>
      <c r="CI88" s="404">
        <v>0</v>
      </c>
      <c r="CJ88" s="404">
        <v>0</v>
      </c>
      <c r="CK88" s="404">
        <v>0</v>
      </c>
      <c r="CL88" s="404">
        <v>0</v>
      </c>
      <c r="CM88" s="404">
        <v>0</v>
      </c>
      <c r="CN88" s="404">
        <v>0</v>
      </c>
      <c r="CO88" s="404">
        <v>0</v>
      </c>
      <c r="CP88" s="404">
        <v>0</v>
      </c>
      <c r="CQ88" s="404">
        <v>0</v>
      </c>
      <c r="CR88" s="404">
        <v>0</v>
      </c>
    </row>
    <row r="89" spans="1:96" s="404" customFormat="1" x14ac:dyDescent="0.3">
      <c r="A89" s="404">
        <v>322</v>
      </c>
      <c r="B89" s="405"/>
      <c r="C89" s="404">
        <v>322</v>
      </c>
      <c r="D89" s="404" t="s">
        <v>259</v>
      </c>
      <c r="E89" s="404" t="s">
        <v>405</v>
      </c>
      <c r="F89" s="404">
        <v>0</v>
      </c>
      <c r="G89" s="404">
        <v>0</v>
      </c>
      <c r="H89" s="404">
        <v>0</v>
      </c>
      <c r="I89" s="404">
        <v>0</v>
      </c>
      <c r="J89" s="404">
        <v>0</v>
      </c>
      <c r="K89" s="404">
        <v>0</v>
      </c>
      <c r="L89" s="404">
        <v>0</v>
      </c>
      <c r="M89" s="404">
        <v>0</v>
      </c>
      <c r="N89" s="404">
        <v>0</v>
      </c>
      <c r="O89" s="404">
        <v>0</v>
      </c>
      <c r="P89" s="404">
        <v>0</v>
      </c>
      <c r="Q89" s="404">
        <v>0</v>
      </c>
      <c r="R89" s="404">
        <v>0</v>
      </c>
      <c r="S89" s="404">
        <v>0</v>
      </c>
      <c r="T89" s="404">
        <v>0</v>
      </c>
      <c r="U89" s="404">
        <v>0</v>
      </c>
      <c r="V89" s="404">
        <v>0</v>
      </c>
      <c r="W89" s="404">
        <v>0</v>
      </c>
      <c r="X89" s="404">
        <v>0</v>
      </c>
      <c r="Y89" s="404">
        <v>0</v>
      </c>
      <c r="Z89" s="404">
        <v>0</v>
      </c>
      <c r="AA89" s="404">
        <v>0</v>
      </c>
      <c r="AB89" s="404">
        <v>0</v>
      </c>
      <c r="AC89" s="404">
        <v>0</v>
      </c>
      <c r="AD89" s="404">
        <v>0</v>
      </c>
      <c r="AE89" s="404">
        <v>0</v>
      </c>
      <c r="AF89" s="404">
        <v>0</v>
      </c>
      <c r="AG89" s="404">
        <v>0</v>
      </c>
      <c r="AH89" s="404">
        <v>0</v>
      </c>
      <c r="AI89" s="404">
        <v>0</v>
      </c>
      <c r="AJ89" s="404">
        <v>0</v>
      </c>
      <c r="AK89" s="404">
        <v>0</v>
      </c>
      <c r="AL89" s="404">
        <v>0</v>
      </c>
      <c r="AM89" s="404">
        <v>0</v>
      </c>
      <c r="AN89" s="404">
        <v>0</v>
      </c>
      <c r="AO89" s="404">
        <v>0</v>
      </c>
      <c r="AP89" s="404">
        <v>0</v>
      </c>
      <c r="AQ89" s="404">
        <v>0</v>
      </c>
      <c r="AR89" s="404">
        <v>0</v>
      </c>
      <c r="AS89" s="404">
        <v>0</v>
      </c>
      <c r="AT89" s="404">
        <v>0</v>
      </c>
      <c r="AU89" s="404">
        <v>0</v>
      </c>
      <c r="AV89" s="404">
        <v>0</v>
      </c>
      <c r="AW89" s="404">
        <v>0</v>
      </c>
      <c r="AX89" s="404">
        <v>0</v>
      </c>
      <c r="AY89" s="404">
        <v>0</v>
      </c>
      <c r="AZ89" s="404">
        <v>0</v>
      </c>
      <c r="BA89" s="404">
        <v>0</v>
      </c>
      <c r="BB89" s="404">
        <v>0</v>
      </c>
      <c r="BC89" s="404">
        <v>0</v>
      </c>
      <c r="BD89" s="404">
        <v>0</v>
      </c>
      <c r="BE89" s="404">
        <v>0</v>
      </c>
      <c r="BF89" s="404">
        <v>0</v>
      </c>
      <c r="BG89" s="404">
        <v>0</v>
      </c>
      <c r="BH89" s="404">
        <v>0</v>
      </c>
      <c r="BI89" s="404">
        <v>0</v>
      </c>
      <c r="BJ89" s="404">
        <v>0</v>
      </c>
      <c r="BK89" s="404">
        <v>0</v>
      </c>
      <c r="BL89" s="404">
        <v>0</v>
      </c>
      <c r="BM89" s="404">
        <v>0</v>
      </c>
      <c r="BN89" s="404">
        <v>0</v>
      </c>
      <c r="BO89" s="404">
        <v>0</v>
      </c>
      <c r="BP89" s="404">
        <v>0</v>
      </c>
      <c r="BQ89" s="404">
        <v>0</v>
      </c>
      <c r="BR89" s="404">
        <v>0</v>
      </c>
      <c r="BS89" s="404">
        <v>0</v>
      </c>
      <c r="BT89" s="404">
        <v>0</v>
      </c>
      <c r="BU89" s="404">
        <v>0</v>
      </c>
      <c r="BV89" s="404">
        <v>0</v>
      </c>
      <c r="BW89" s="404">
        <v>0</v>
      </c>
      <c r="BX89" s="404">
        <v>0</v>
      </c>
      <c r="BY89" s="404">
        <v>0</v>
      </c>
      <c r="BZ89" s="404">
        <v>0</v>
      </c>
      <c r="CA89" s="404">
        <v>0</v>
      </c>
      <c r="CB89" s="404">
        <v>0</v>
      </c>
      <c r="CC89" s="404">
        <v>0</v>
      </c>
      <c r="CD89" s="404">
        <v>0</v>
      </c>
      <c r="CE89" s="404">
        <v>0</v>
      </c>
      <c r="CF89" s="404">
        <v>0</v>
      </c>
      <c r="CG89" s="404">
        <v>0</v>
      </c>
      <c r="CH89" s="404">
        <v>0</v>
      </c>
      <c r="CI89" s="404">
        <v>0</v>
      </c>
      <c r="CJ89" s="404">
        <v>0</v>
      </c>
      <c r="CK89" s="404">
        <v>0</v>
      </c>
      <c r="CL89" s="404">
        <v>0</v>
      </c>
      <c r="CM89" s="404">
        <v>0</v>
      </c>
      <c r="CN89" s="404">
        <v>0</v>
      </c>
      <c r="CO89" s="404">
        <v>0</v>
      </c>
      <c r="CP89" s="404">
        <v>0</v>
      </c>
      <c r="CQ89" s="404">
        <v>0</v>
      </c>
      <c r="CR89" s="404">
        <v>0</v>
      </c>
    </row>
    <row r="90" spans="1:96" s="404" customFormat="1" x14ac:dyDescent="0.3">
      <c r="A90" s="404">
        <v>323</v>
      </c>
      <c r="B90" s="405"/>
      <c r="C90" s="404">
        <v>323</v>
      </c>
      <c r="D90" s="404" t="s">
        <v>258</v>
      </c>
      <c r="E90" s="404" t="s">
        <v>406</v>
      </c>
      <c r="F90" s="404">
        <v>0</v>
      </c>
      <c r="G90" s="404">
        <v>0</v>
      </c>
      <c r="H90" s="404">
        <v>0</v>
      </c>
      <c r="I90" s="404">
        <v>0</v>
      </c>
      <c r="J90" s="404">
        <v>0</v>
      </c>
      <c r="K90" s="404">
        <v>0</v>
      </c>
      <c r="L90" s="404">
        <v>0</v>
      </c>
      <c r="M90" s="404">
        <v>0</v>
      </c>
      <c r="N90" s="404">
        <v>0</v>
      </c>
      <c r="O90" s="404">
        <v>0</v>
      </c>
      <c r="P90" s="404">
        <v>0</v>
      </c>
      <c r="Q90" s="404">
        <v>0</v>
      </c>
      <c r="R90" s="404">
        <v>0</v>
      </c>
      <c r="S90" s="404">
        <v>0</v>
      </c>
      <c r="T90" s="404">
        <v>0</v>
      </c>
      <c r="U90" s="404">
        <v>0</v>
      </c>
      <c r="V90" s="404">
        <v>0</v>
      </c>
      <c r="W90" s="404">
        <v>0</v>
      </c>
      <c r="X90" s="404">
        <v>0</v>
      </c>
      <c r="Y90" s="404">
        <v>0</v>
      </c>
      <c r="Z90" s="404">
        <v>0</v>
      </c>
      <c r="AA90" s="404">
        <v>0</v>
      </c>
      <c r="AB90" s="404">
        <v>0</v>
      </c>
      <c r="AC90" s="404">
        <v>0</v>
      </c>
      <c r="AD90" s="404">
        <v>0</v>
      </c>
      <c r="AE90" s="404">
        <v>0</v>
      </c>
      <c r="AF90" s="404">
        <v>0</v>
      </c>
      <c r="AG90" s="404">
        <v>0</v>
      </c>
      <c r="AH90" s="404">
        <v>0</v>
      </c>
      <c r="AI90" s="404">
        <v>0</v>
      </c>
      <c r="AJ90" s="404">
        <v>0</v>
      </c>
      <c r="AK90" s="404">
        <v>0</v>
      </c>
      <c r="AL90" s="404">
        <v>0</v>
      </c>
      <c r="AM90" s="404">
        <v>0</v>
      </c>
      <c r="AN90" s="404">
        <v>0</v>
      </c>
      <c r="AO90" s="404">
        <v>0</v>
      </c>
      <c r="AP90" s="404">
        <v>0</v>
      </c>
      <c r="AQ90" s="404">
        <v>0</v>
      </c>
      <c r="AR90" s="404">
        <v>0</v>
      </c>
      <c r="AS90" s="404">
        <v>0</v>
      </c>
      <c r="AT90" s="404">
        <v>0</v>
      </c>
      <c r="AU90" s="404">
        <v>0</v>
      </c>
      <c r="AV90" s="404">
        <v>0</v>
      </c>
      <c r="AW90" s="404">
        <v>0</v>
      </c>
      <c r="AX90" s="404">
        <v>0</v>
      </c>
      <c r="AY90" s="404">
        <v>0</v>
      </c>
      <c r="AZ90" s="404">
        <v>0</v>
      </c>
      <c r="BA90" s="404">
        <v>0</v>
      </c>
      <c r="BB90" s="404">
        <v>0</v>
      </c>
      <c r="BC90" s="404">
        <v>0</v>
      </c>
      <c r="BD90" s="404">
        <v>0</v>
      </c>
      <c r="BE90" s="404">
        <v>0</v>
      </c>
      <c r="BF90" s="404">
        <v>0</v>
      </c>
      <c r="BG90" s="404">
        <v>0</v>
      </c>
      <c r="BH90" s="404">
        <v>0</v>
      </c>
      <c r="BI90" s="404">
        <v>0</v>
      </c>
      <c r="BJ90" s="404">
        <v>0</v>
      </c>
      <c r="BK90" s="404">
        <v>0</v>
      </c>
      <c r="BL90" s="404">
        <v>0</v>
      </c>
      <c r="BM90" s="404">
        <v>0</v>
      </c>
      <c r="BN90" s="404">
        <v>0</v>
      </c>
      <c r="BO90" s="404">
        <v>0</v>
      </c>
      <c r="BP90" s="404">
        <v>0</v>
      </c>
      <c r="BQ90" s="404">
        <v>0</v>
      </c>
      <c r="BR90" s="404">
        <v>0</v>
      </c>
      <c r="BS90" s="404">
        <v>0</v>
      </c>
      <c r="BT90" s="404">
        <v>0</v>
      </c>
      <c r="BU90" s="404">
        <v>0</v>
      </c>
      <c r="BV90" s="404">
        <v>0</v>
      </c>
      <c r="BW90" s="404">
        <v>0</v>
      </c>
      <c r="BX90" s="404">
        <v>0</v>
      </c>
      <c r="BY90" s="404">
        <v>0</v>
      </c>
      <c r="BZ90" s="404">
        <v>0</v>
      </c>
      <c r="CA90" s="404">
        <v>0</v>
      </c>
      <c r="CB90" s="404">
        <v>0</v>
      </c>
      <c r="CC90" s="404">
        <v>0</v>
      </c>
      <c r="CD90" s="404">
        <v>0</v>
      </c>
      <c r="CE90" s="404">
        <v>0</v>
      </c>
      <c r="CF90" s="404">
        <v>0</v>
      </c>
      <c r="CG90" s="404">
        <v>0</v>
      </c>
      <c r="CH90" s="404">
        <v>0</v>
      </c>
      <c r="CI90" s="404">
        <v>0</v>
      </c>
      <c r="CJ90" s="404">
        <v>0</v>
      </c>
      <c r="CK90" s="404">
        <v>0</v>
      </c>
      <c r="CL90" s="404">
        <v>0</v>
      </c>
      <c r="CM90" s="404">
        <v>0</v>
      </c>
      <c r="CN90" s="404">
        <v>0</v>
      </c>
      <c r="CO90" s="404">
        <v>0</v>
      </c>
      <c r="CP90" s="404">
        <v>0</v>
      </c>
      <c r="CQ90" s="404">
        <v>0</v>
      </c>
      <c r="CR90" s="404">
        <v>0</v>
      </c>
    </row>
    <row r="91" spans="1:96" s="404" customFormat="1" x14ac:dyDescent="0.3">
      <c r="A91" s="404">
        <v>324</v>
      </c>
      <c r="B91" s="405"/>
      <c r="C91" s="404">
        <v>324</v>
      </c>
      <c r="D91" s="404" t="s">
        <v>257</v>
      </c>
      <c r="E91" s="404" t="s">
        <v>407</v>
      </c>
      <c r="F91" s="404">
        <v>0</v>
      </c>
      <c r="G91" s="404">
        <v>0</v>
      </c>
      <c r="H91" s="404">
        <v>0</v>
      </c>
      <c r="I91" s="404">
        <v>0</v>
      </c>
      <c r="J91" s="404">
        <v>0</v>
      </c>
      <c r="K91" s="404">
        <v>0</v>
      </c>
      <c r="L91" s="404">
        <v>0</v>
      </c>
      <c r="M91" s="404">
        <v>0</v>
      </c>
      <c r="N91" s="404">
        <v>0</v>
      </c>
      <c r="O91" s="404">
        <v>0</v>
      </c>
      <c r="P91" s="404">
        <v>0</v>
      </c>
      <c r="Q91" s="404">
        <v>0</v>
      </c>
      <c r="R91" s="404">
        <v>0</v>
      </c>
      <c r="S91" s="404">
        <v>0</v>
      </c>
      <c r="T91" s="404">
        <v>0</v>
      </c>
      <c r="U91" s="404">
        <v>0</v>
      </c>
      <c r="V91" s="404">
        <v>0</v>
      </c>
      <c r="W91" s="404">
        <v>0</v>
      </c>
      <c r="X91" s="404">
        <v>0</v>
      </c>
      <c r="Y91" s="404">
        <v>0</v>
      </c>
      <c r="Z91" s="404">
        <v>0</v>
      </c>
      <c r="AA91" s="404">
        <v>0</v>
      </c>
      <c r="AB91" s="404">
        <v>0</v>
      </c>
      <c r="AC91" s="404">
        <v>0</v>
      </c>
      <c r="AD91" s="404">
        <v>0</v>
      </c>
      <c r="AE91" s="404">
        <v>0</v>
      </c>
      <c r="AF91" s="404">
        <v>0</v>
      </c>
      <c r="AG91" s="404">
        <v>0</v>
      </c>
      <c r="AH91" s="404">
        <v>0</v>
      </c>
      <c r="AI91" s="404">
        <v>0</v>
      </c>
      <c r="AJ91" s="404">
        <v>0</v>
      </c>
      <c r="AK91" s="404">
        <v>0</v>
      </c>
      <c r="AL91" s="404">
        <v>0</v>
      </c>
      <c r="AM91" s="404">
        <v>0</v>
      </c>
      <c r="AN91" s="404">
        <v>0</v>
      </c>
      <c r="AO91" s="404">
        <v>0</v>
      </c>
      <c r="AP91" s="404">
        <v>0</v>
      </c>
      <c r="AQ91" s="404">
        <v>0</v>
      </c>
      <c r="AR91" s="404">
        <v>0</v>
      </c>
      <c r="AS91" s="404">
        <v>0</v>
      </c>
      <c r="AT91" s="404">
        <v>0</v>
      </c>
      <c r="AU91" s="404">
        <v>0</v>
      </c>
      <c r="AV91" s="404">
        <v>0</v>
      </c>
      <c r="AW91" s="404">
        <v>0</v>
      </c>
      <c r="AX91" s="404">
        <v>0</v>
      </c>
      <c r="AY91" s="404">
        <v>0</v>
      </c>
      <c r="AZ91" s="404">
        <v>0</v>
      </c>
      <c r="BA91" s="404">
        <v>0</v>
      </c>
      <c r="BB91" s="404">
        <v>0</v>
      </c>
      <c r="BC91" s="404">
        <v>0</v>
      </c>
      <c r="BD91" s="404">
        <v>0</v>
      </c>
      <c r="BE91" s="404">
        <v>0</v>
      </c>
      <c r="BF91" s="404">
        <v>0</v>
      </c>
      <c r="BG91" s="404">
        <v>0</v>
      </c>
      <c r="BH91" s="404">
        <v>0</v>
      </c>
      <c r="BI91" s="404">
        <v>0</v>
      </c>
      <c r="BJ91" s="404">
        <v>0</v>
      </c>
      <c r="BK91" s="404">
        <v>0</v>
      </c>
      <c r="BL91" s="404">
        <v>0</v>
      </c>
      <c r="BM91" s="404">
        <v>0</v>
      </c>
      <c r="BN91" s="404">
        <v>0</v>
      </c>
      <c r="BO91" s="404">
        <v>0</v>
      </c>
      <c r="BP91" s="404">
        <v>0</v>
      </c>
      <c r="BQ91" s="404">
        <v>0</v>
      </c>
      <c r="BR91" s="404">
        <v>0</v>
      </c>
      <c r="BS91" s="404">
        <v>0</v>
      </c>
      <c r="BT91" s="404">
        <v>0</v>
      </c>
      <c r="BU91" s="404">
        <v>0</v>
      </c>
      <c r="BV91" s="404">
        <v>0</v>
      </c>
      <c r="BW91" s="404">
        <v>0</v>
      </c>
      <c r="BX91" s="404">
        <v>0</v>
      </c>
      <c r="BY91" s="404">
        <v>0</v>
      </c>
      <c r="BZ91" s="404">
        <v>0</v>
      </c>
      <c r="CA91" s="404">
        <v>0</v>
      </c>
      <c r="CB91" s="404">
        <v>0</v>
      </c>
      <c r="CC91" s="404">
        <v>0</v>
      </c>
      <c r="CD91" s="404">
        <v>0</v>
      </c>
      <c r="CE91" s="404">
        <v>0</v>
      </c>
      <c r="CF91" s="404">
        <v>0</v>
      </c>
      <c r="CG91" s="404">
        <v>0</v>
      </c>
      <c r="CH91" s="404">
        <v>0</v>
      </c>
      <c r="CI91" s="404">
        <v>0</v>
      </c>
      <c r="CJ91" s="404">
        <v>0</v>
      </c>
      <c r="CK91" s="404">
        <v>0</v>
      </c>
      <c r="CL91" s="404">
        <v>0</v>
      </c>
      <c r="CM91" s="404">
        <v>0</v>
      </c>
      <c r="CN91" s="404">
        <v>0</v>
      </c>
      <c r="CO91" s="404">
        <v>0</v>
      </c>
      <c r="CP91" s="404">
        <v>0</v>
      </c>
      <c r="CQ91" s="404">
        <v>0</v>
      </c>
      <c r="CR91" s="404">
        <v>0</v>
      </c>
    </row>
    <row r="92" spans="1:96" s="404" customFormat="1" x14ac:dyDescent="0.3">
      <c r="A92" s="404">
        <v>325</v>
      </c>
      <c r="B92" s="405"/>
      <c r="C92" s="404">
        <v>325</v>
      </c>
      <c r="D92" s="404" t="s">
        <v>260</v>
      </c>
      <c r="E92" s="404" t="s">
        <v>408</v>
      </c>
      <c r="F92" s="404">
        <v>0</v>
      </c>
      <c r="G92" s="404">
        <v>0</v>
      </c>
      <c r="H92" s="404">
        <v>0</v>
      </c>
      <c r="I92" s="404">
        <v>0</v>
      </c>
      <c r="J92" s="404">
        <v>0</v>
      </c>
      <c r="K92" s="404">
        <v>0</v>
      </c>
      <c r="L92" s="404">
        <v>0</v>
      </c>
      <c r="M92" s="404">
        <v>0</v>
      </c>
      <c r="N92" s="404">
        <v>0</v>
      </c>
      <c r="O92" s="404">
        <v>0</v>
      </c>
      <c r="P92" s="404">
        <v>0</v>
      </c>
      <c r="Q92" s="404">
        <v>0</v>
      </c>
      <c r="R92" s="404">
        <v>0</v>
      </c>
      <c r="S92" s="404">
        <v>0</v>
      </c>
      <c r="T92" s="404">
        <v>0</v>
      </c>
      <c r="U92" s="404">
        <v>0</v>
      </c>
      <c r="V92" s="404">
        <v>0</v>
      </c>
      <c r="W92" s="404">
        <v>0</v>
      </c>
      <c r="X92" s="404">
        <v>0</v>
      </c>
      <c r="Y92" s="404">
        <v>0</v>
      </c>
      <c r="Z92" s="404">
        <v>0</v>
      </c>
      <c r="AA92" s="404">
        <v>0</v>
      </c>
      <c r="AB92" s="404">
        <v>0</v>
      </c>
      <c r="AC92" s="404">
        <v>0</v>
      </c>
      <c r="AD92" s="404">
        <v>0</v>
      </c>
      <c r="AE92" s="404">
        <v>0</v>
      </c>
      <c r="AF92" s="404">
        <v>0</v>
      </c>
      <c r="AG92" s="404">
        <v>0</v>
      </c>
      <c r="AH92" s="404">
        <v>0</v>
      </c>
      <c r="AI92" s="404">
        <v>0</v>
      </c>
      <c r="AJ92" s="404">
        <v>0</v>
      </c>
      <c r="AK92" s="404">
        <v>0</v>
      </c>
      <c r="AL92" s="404">
        <v>0</v>
      </c>
      <c r="AM92" s="404">
        <v>0</v>
      </c>
      <c r="AN92" s="404">
        <v>0</v>
      </c>
      <c r="AO92" s="404">
        <v>0</v>
      </c>
      <c r="AP92" s="404">
        <v>0</v>
      </c>
      <c r="AQ92" s="404">
        <v>0</v>
      </c>
      <c r="AR92" s="404">
        <v>0</v>
      </c>
      <c r="AS92" s="404">
        <v>0</v>
      </c>
      <c r="AT92" s="404">
        <v>0</v>
      </c>
      <c r="AU92" s="404">
        <v>0</v>
      </c>
      <c r="AV92" s="404">
        <v>0</v>
      </c>
      <c r="AW92" s="404">
        <v>0</v>
      </c>
      <c r="AX92" s="404">
        <v>0</v>
      </c>
      <c r="AY92" s="404">
        <v>0</v>
      </c>
      <c r="AZ92" s="404">
        <v>0</v>
      </c>
      <c r="BA92" s="404">
        <v>0</v>
      </c>
      <c r="BB92" s="404">
        <v>0</v>
      </c>
      <c r="BC92" s="404">
        <v>0</v>
      </c>
      <c r="BD92" s="404">
        <v>0</v>
      </c>
      <c r="BE92" s="404">
        <v>0</v>
      </c>
      <c r="BF92" s="404">
        <v>0</v>
      </c>
      <c r="BG92" s="404">
        <v>0</v>
      </c>
      <c r="BH92" s="404">
        <v>0</v>
      </c>
      <c r="BI92" s="404">
        <v>0</v>
      </c>
      <c r="BJ92" s="404">
        <v>0</v>
      </c>
      <c r="BK92" s="404">
        <v>0</v>
      </c>
      <c r="BL92" s="404">
        <v>0</v>
      </c>
      <c r="BM92" s="404">
        <v>0</v>
      </c>
      <c r="BN92" s="404">
        <v>0</v>
      </c>
      <c r="BO92" s="404">
        <v>0</v>
      </c>
      <c r="BP92" s="404">
        <v>0</v>
      </c>
      <c r="BQ92" s="404">
        <v>0</v>
      </c>
      <c r="BR92" s="404">
        <v>0</v>
      </c>
      <c r="BS92" s="404">
        <v>0</v>
      </c>
      <c r="BT92" s="404">
        <v>0</v>
      </c>
      <c r="BU92" s="404">
        <v>0</v>
      </c>
      <c r="BV92" s="404">
        <v>0</v>
      </c>
      <c r="BW92" s="404">
        <v>0</v>
      </c>
      <c r="BX92" s="404">
        <v>0</v>
      </c>
      <c r="BY92" s="404">
        <v>0</v>
      </c>
      <c r="BZ92" s="404">
        <v>0</v>
      </c>
      <c r="CA92" s="404">
        <v>0</v>
      </c>
      <c r="CB92" s="404">
        <v>0</v>
      </c>
      <c r="CC92" s="404">
        <v>0</v>
      </c>
      <c r="CD92" s="404">
        <v>0</v>
      </c>
      <c r="CE92" s="404">
        <v>0</v>
      </c>
      <c r="CF92" s="404">
        <v>0</v>
      </c>
      <c r="CG92" s="404">
        <v>0</v>
      </c>
      <c r="CH92" s="404">
        <v>0</v>
      </c>
      <c r="CI92" s="404">
        <v>0</v>
      </c>
      <c r="CJ92" s="404">
        <v>0</v>
      </c>
      <c r="CK92" s="404">
        <v>0</v>
      </c>
      <c r="CL92" s="404">
        <v>0</v>
      </c>
      <c r="CM92" s="404">
        <v>0</v>
      </c>
      <c r="CN92" s="404">
        <v>0</v>
      </c>
      <c r="CO92" s="404">
        <v>0</v>
      </c>
      <c r="CP92" s="404">
        <v>0</v>
      </c>
      <c r="CQ92" s="404">
        <v>0</v>
      </c>
      <c r="CR92" s="404">
        <v>0</v>
      </c>
    </row>
    <row r="93" spans="1:96" s="404" customFormat="1" x14ac:dyDescent="0.3">
      <c r="A93" s="404">
        <v>326</v>
      </c>
      <c r="B93" s="405"/>
      <c r="C93" s="404">
        <v>326</v>
      </c>
      <c r="D93" s="404" t="e">
        <v>#VALUE!</v>
      </c>
      <c r="E93" s="404" t="s">
        <v>409</v>
      </c>
    </row>
    <row r="94" spans="1:96" s="404" customFormat="1" x14ac:dyDescent="0.3">
      <c r="A94" s="404">
        <v>327</v>
      </c>
      <c r="B94" s="405">
        <v>327</v>
      </c>
      <c r="C94" s="404">
        <v>327</v>
      </c>
      <c r="D94" s="404" t="s">
        <v>634</v>
      </c>
      <c r="E94" s="404" t="s">
        <v>410</v>
      </c>
      <c r="F94" s="404">
        <v>0</v>
      </c>
      <c r="G94" s="404">
        <v>0</v>
      </c>
      <c r="H94" s="404">
        <v>0</v>
      </c>
      <c r="I94" s="404">
        <v>624775</v>
      </c>
      <c r="J94" s="404">
        <v>89940</v>
      </c>
      <c r="K94" s="404">
        <v>66250</v>
      </c>
      <c r="L94" s="404">
        <v>1512212</v>
      </c>
      <c r="M94" s="404">
        <v>0</v>
      </c>
      <c r="N94" s="404">
        <v>0</v>
      </c>
      <c r="O94" s="404">
        <v>8500</v>
      </c>
      <c r="P94" s="404">
        <v>28360</v>
      </c>
      <c r="Q94" s="404">
        <v>0</v>
      </c>
      <c r="R94" s="404">
        <v>177409</v>
      </c>
      <c r="S94" s="404">
        <v>0</v>
      </c>
      <c r="T94" s="404">
        <v>0</v>
      </c>
      <c r="U94" s="404">
        <v>0</v>
      </c>
      <c r="V94" s="404">
        <v>5245933</v>
      </c>
      <c r="W94" s="404">
        <v>0</v>
      </c>
      <c r="X94" s="404">
        <v>12643</v>
      </c>
      <c r="Y94" s="404">
        <v>0</v>
      </c>
      <c r="Z94" s="404">
        <v>31225</v>
      </c>
      <c r="AA94" s="404">
        <v>0</v>
      </c>
      <c r="AB94" s="404">
        <v>527564</v>
      </c>
      <c r="AC94" s="404">
        <v>181809</v>
      </c>
      <c r="AD94" s="404">
        <v>0</v>
      </c>
      <c r="AE94" s="404">
        <v>3040</v>
      </c>
      <c r="AF94" s="404">
        <v>390831</v>
      </c>
      <c r="AG94" s="404">
        <v>0</v>
      </c>
      <c r="AH94" s="404">
        <v>1303353</v>
      </c>
      <c r="AI94" s="404">
        <v>0</v>
      </c>
      <c r="AJ94" s="404">
        <v>558695</v>
      </c>
      <c r="AK94" s="404">
        <v>14186</v>
      </c>
      <c r="AL94" s="404">
        <v>148136</v>
      </c>
      <c r="AM94" s="404">
        <v>631356</v>
      </c>
      <c r="AN94" s="404">
        <v>544</v>
      </c>
      <c r="AO94" s="404">
        <v>3348</v>
      </c>
      <c r="AP94" s="404">
        <v>0</v>
      </c>
      <c r="AQ94" s="404">
        <v>322980</v>
      </c>
      <c r="AR94" s="404">
        <v>0</v>
      </c>
      <c r="AS94" s="404">
        <v>0</v>
      </c>
      <c r="AT94" s="404">
        <v>0</v>
      </c>
      <c r="AU94" s="404">
        <v>0</v>
      </c>
      <c r="AV94" s="404">
        <v>0</v>
      </c>
      <c r="AW94" s="404">
        <v>25750</v>
      </c>
      <c r="AX94" s="404">
        <v>23052</v>
      </c>
      <c r="AY94" s="404">
        <v>4375</v>
      </c>
      <c r="AZ94" s="404">
        <v>0</v>
      </c>
      <c r="BA94" s="404">
        <v>0</v>
      </c>
      <c r="BB94" s="404">
        <v>57846</v>
      </c>
      <c r="BC94" s="404">
        <v>0</v>
      </c>
      <c r="BD94" s="404">
        <v>168102</v>
      </c>
      <c r="BE94" s="404">
        <v>73084</v>
      </c>
      <c r="BF94" s="404">
        <v>0</v>
      </c>
      <c r="BG94" s="404">
        <v>5250</v>
      </c>
      <c r="BH94" s="404">
        <v>33218</v>
      </c>
      <c r="BI94" s="404">
        <v>143019</v>
      </c>
      <c r="BJ94" s="404">
        <v>0</v>
      </c>
      <c r="BK94" s="404">
        <v>0</v>
      </c>
      <c r="BL94" s="404">
        <v>0</v>
      </c>
      <c r="BM94" s="404">
        <v>1596862</v>
      </c>
      <c r="BN94" s="404">
        <v>146035</v>
      </c>
      <c r="BO94" s="404">
        <v>0</v>
      </c>
      <c r="BP94" s="404">
        <v>0</v>
      </c>
      <c r="BQ94" s="404">
        <v>38500</v>
      </c>
      <c r="BR94" s="404">
        <v>0</v>
      </c>
      <c r="BS94" s="404">
        <v>0</v>
      </c>
      <c r="BT94" s="404">
        <v>0</v>
      </c>
      <c r="BU94" s="404">
        <v>140780</v>
      </c>
      <c r="BV94" s="404">
        <v>0</v>
      </c>
      <c r="BW94" s="404">
        <v>0</v>
      </c>
      <c r="BX94" s="404">
        <v>43898</v>
      </c>
      <c r="BY94" s="404">
        <v>206018</v>
      </c>
      <c r="BZ94" s="404">
        <v>0</v>
      </c>
      <c r="CA94" s="404">
        <v>0</v>
      </c>
      <c r="CB94" s="404">
        <v>112022</v>
      </c>
      <c r="CC94" s="404">
        <v>0</v>
      </c>
      <c r="CD94" s="404">
        <v>20400159</v>
      </c>
      <c r="CE94" s="404">
        <v>357356</v>
      </c>
      <c r="CF94" s="404">
        <v>4500</v>
      </c>
      <c r="CG94" s="404">
        <v>0</v>
      </c>
      <c r="CH94" s="404">
        <v>208937</v>
      </c>
      <c r="CI94" s="404">
        <v>18238971</v>
      </c>
      <c r="CJ94" s="404">
        <v>8000</v>
      </c>
      <c r="CK94" s="404">
        <v>62643</v>
      </c>
      <c r="CL94" s="404">
        <v>0</v>
      </c>
      <c r="CM94" s="404">
        <v>99533</v>
      </c>
      <c r="CN94" s="404">
        <v>0</v>
      </c>
      <c r="CO94" s="404">
        <v>982164</v>
      </c>
      <c r="CP94" s="404">
        <v>19407</v>
      </c>
      <c r="CQ94" s="404">
        <v>0</v>
      </c>
      <c r="CR94" s="404">
        <v>0</v>
      </c>
    </row>
    <row r="95" spans="1:96" s="404" customFormat="1" x14ac:dyDescent="0.3">
      <c r="A95" s="404">
        <v>328</v>
      </c>
      <c r="B95" s="405">
        <v>328</v>
      </c>
      <c r="C95" s="404">
        <v>328</v>
      </c>
      <c r="D95" s="404" t="s">
        <v>550</v>
      </c>
      <c r="E95" s="404" t="s">
        <v>411</v>
      </c>
      <c r="F95" s="404">
        <v>0</v>
      </c>
      <c r="G95" s="404">
        <v>0</v>
      </c>
      <c r="H95" s="404">
        <v>0</v>
      </c>
      <c r="I95" s="404">
        <v>0</v>
      </c>
      <c r="J95" s="404">
        <v>19784</v>
      </c>
      <c r="K95" s="404">
        <v>0</v>
      </c>
      <c r="L95" s="404">
        <v>712438</v>
      </c>
      <c r="M95" s="404">
        <v>0</v>
      </c>
      <c r="N95" s="404">
        <v>0</v>
      </c>
      <c r="O95" s="404">
        <v>0</v>
      </c>
      <c r="P95" s="404">
        <v>927442</v>
      </c>
      <c r="Q95" s="404">
        <v>0</v>
      </c>
      <c r="R95" s="404">
        <v>0</v>
      </c>
      <c r="S95" s="404">
        <v>0</v>
      </c>
      <c r="T95" s="404">
        <v>0</v>
      </c>
      <c r="U95" s="404">
        <v>0</v>
      </c>
      <c r="V95" s="404">
        <v>4324623</v>
      </c>
      <c r="W95" s="404">
        <v>0</v>
      </c>
      <c r="X95" s="404">
        <v>0</v>
      </c>
      <c r="Y95" s="404">
        <v>0</v>
      </c>
      <c r="Z95" s="404">
        <v>210596</v>
      </c>
      <c r="AA95" s="404">
        <v>0</v>
      </c>
      <c r="AB95" s="404">
        <v>0</v>
      </c>
      <c r="AC95" s="404">
        <v>3459716</v>
      </c>
      <c r="AD95" s="404">
        <v>114259</v>
      </c>
      <c r="AE95" s="404">
        <v>331632</v>
      </c>
      <c r="AF95" s="404">
        <v>5437477</v>
      </c>
      <c r="AG95" s="404">
        <v>0</v>
      </c>
      <c r="AH95" s="404">
        <v>0</v>
      </c>
      <c r="AI95" s="404">
        <v>0</v>
      </c>
      <c r="AJ95" s="404">
        <v>0</v>
      </c>
      <c r="AK95" s="404">
        <v>29369</v>
      </c>
      <c r="AL95" s="404">
        <v>0</v>
      </c>
      <c r="AM95" s="404">
        <v>2235947</v>
      </c>
      <c r="AN95" s="404">
        <v>0</v>
      </c>
      <c r="AO95" s="404">
        <v>0</v>
      </c>
      <c r="AP95" s="404">
        <v>0</v>
      </c>
      <c r="AQ95" s="404">
        <v>2991816</v>
      </c>
      <c r="AR95" s="404">
        <v>0</v>
      </c>
      <c r="AS95" s="404">
        <v>0</v>
      </c>
      <c r="AT95" s="404">
        <v>0</v>
      </c>
      <c r="AU95" s="404">
        <v>0</v>
      </c>
      <c r="AV95" s="404">
        <v>0</v>
      </c>
      <c r="AW95" s="404">
        <v>0</v>
      </c>
      <c r="AX95" s="404">
        <v>666973</v>
      </c>
      <c r="AY95" s="404">
        <v>0</v>
      </c>
      <c r="AZ95" s="404">
        <v>0</v>
      </c>
      <c r="BA95" s="404">
        <v>0</v>
      </c>
      <c r="BB95" s="404">
        <v>0</v>
      </c>
      <c r="BC95" s="404">
        <v>0</v>
      </c>
      <c r="BD95" s="404">
        <v>99629</v>
      </c>
      <c r="BE95" s="404">
        <v>0</v>
      </c>
      <c r="BF95" s="404">
        <v>0</v>
      </c>
      <c r="BG95" s="404">
        <v>2190051</v>
      </c>
      <c r="BH95" s="404">
        <v>0</v>
      </c>
      <c r="BI95" s="404">
        <v>161119</v>
      </c>
      <c r="BJ95" s="404">
        <v>0</v>
      </c>
      <c r="BK95" s="404">
        <v>0</v>
      </c>
      <c r="BL95" s="404">
        <v>0</v>
      </c>
      <c r="BM95" s="404">
        <v>331152</v>
      </c>
      <c r="BN95" s="404">
        <v>1085761</v>
      </c>
      <c r="BO95" s="404">
        <v>0</v>
      </c>
      <c r="BP95" s="404">
        <v>0</v>
      </c>
      <c r="BQ95" s="404">
        <v>0</v>
      </c>
      <c r="BR95" s="404">
        <v>0</v>
      </c>
      <c r="BS95" s="404">
        <v>0</v>
      </c>
      <c r="BT95" s="404">
        <v>0</v>
      </c>
      <c r="BU95" s="404">
        <v>1281180</v>
      </c>
      <c r="BV95" s="404">
        <v>0</v>
      </c>
      <c r="BW95" s="404">
        <v>0</v>
      </c>
      <c r="BX95" s="404">
        <v>237168</v>
      </c>
      <c r="BY95" s="404">
        <v>115287</v>
      </c>
      <c r="BZ95" s="404">
        <v>60399</v>
      </c>
      <c r="CA95" s="404">
        <v>0</v>
      </c>
      <c r="CB95" s="404">
        <v>0</v>
      </c>
      <c r="CC95" s="404">
        <v>0</v>
      </c>
      <c r="CD95" s="404">
        <v>4685532</v>
      </c>
      <c r="CE95" s="404">
        <v>0</v>
      </c>
      <c r="CF95" s="404">
        <v>145875</v>
      </c>
      <c r="CG95" s="404">
        <v>0</v>
      </c>
      <c r="CH95" s="404">
        <v>75054</v>
      </c>
      <c r="CI95" s="404">
        <v>187441228</v>
      </c>
      <c r="CJ95" s="404">
        <v>302077</v>
      </c>
      <c r="CK95" s="404">
        <v>68579</v>
      </c>
      <c r="CL95" s="404">
        <v>0</v>
      </c>
      <c r="CM95" s="404">
        <v>0</v>
      </c>
      <c r="CN95" s="404">
        <v>308840</v>
      </c>
      <c r="CO95" s="404">
        <v>0</v>
      </c>
      <c r="CP95" s="404">
        <v>2177996</v>
      </c>
      <c r="CQ95" s="404">
        <v>0</v>
      </c>
      <c r="CR95" s="404">
        <v>0</v>
      </c>
    </row>
    <row r="96" spans="1:96" s="404" customFormat="1" x14ac:dyDescent="0.3">
      <c r="A96" s="404">
        <v>330</v>
      </c>
      <c r="B96" s="405"/>
      <c r="C96" s="404">
        <v>330</v>
      </c>
      <c r="D96" s="404" t="s">
        <v>635</v>
      </c>
      <c r="E96" s="404" t="s">
        <v>412</v>
      </c>
    </row>
    <row r="97" spans="1:96" s="404" customFormat="1" x14ac:dyDescent="0.3">
      <c r="A97" s="404">
        <v>331</v>
      </c>
      <c r="B97" s="405">
        <v>331</v>
      </c>
      <c r="C97" s="404">
        <v>331</v>
      </c>
      <c r="D97" s="404" t="s">
        <v>247</v>
      </c>
      <c r="E97" s="404" t="s">
        <v>413</v>
      </c>
      <c r="F97" s="404">
        <v>0</v>
      </c>
      <c r="G97" s="404">
        <v>0</v>
      </c>
      <c r="H97" s="404">
        <v>0</v>
      </c>
      <c r="I97" s="404">
        <v>415457</v>
      </c>
      <c r="J97" s="404">
        <v>72580</v>
      </c>
      <c r="K97" s="404">
        <v>0</v>
      </c>
      <c r="L97" s="404">
        <v>2192527</v>
      </c>
      <c r="M97" s="404">
        <v>26461</v>
      </c>
      <c r="N97" s="404">
        <v>0</v>
      </c>
      <c r="O97" s="404">
        <v>0</v>
      </c>
      <c r="P97" s="404">
        <v>83195</v>
      </c>
      <c r="Q97" s="404">
        <v>0</v>
      </c>
      <c r="R97" s="404">
        <v>12000</v>
      </c>
      <c r="S97" s="404">
        <v>0</v>
      </c>
      <c r="T97" s="404">
        <v>0</v>
      </c>
      <c r="U97" s="404">
        <v>0</v>
      </c>
      <c r="V97" s="404">
        <v>2028209</v>
      </c>
      <c r="W97" s="404">
        <v>0</v>
      </c>
      <c r="X97" s="404">
        <v>0</v>
      </c>
      <c r="Y97" s="404">
        <v>0</v>
      </c>
      <c r="Z97" s="404">
        <v>139779</v>
      </c>
      <c r="AA97" s="404">
        <v>0</v>
      </c>
      <c r="AB97" s="404">
        <v>29478</v>
      </c>
      <c r="AC97" s="404">
        <v>342879</v>
      </c>
      <c r="AD97" s="404">
        <v>0</v>
      </c>
      <c r="AE97" s="404">
        <v>39068</v>
      </c>
      <c r="AF97" s="404">
        <v>3230154</v>
      </c>
      <c r="AG97" s="404">
        <v>0</v>
      </c>
      <c r="AH97" s="404">
        <v>276179</v>
      </c>
      <c r="AI97" s="404">
        <v>0</v>
      </c>
      <c r="AJ97" s="404">
        <v>0</v>
      </c>
      <c r="AK97" s="404">
        <v>339887</v>
      </c>
      <c r="AL97" s="404">
        <v>235468</v>
      </c>
      <c r="AM97" s="404">
        <v>77835</v>
      </c>
      <c r="AN97" s="404">
        <v>212221</v>
      </c>
      <c r="AO97" s="404">
        <v>3147</v>
      </c>
      <c r="AP97" s="404">
        <v>0</v>
      </c>
      <c r="AQ97" s="404">
        <v>235305</v>
      </c>
      <c r="AR97" s="404">
        <v>0</v>
      </c>
      <c r="AS97" s="404">
        <v>0</v>
      </c>
      <c r="AT97" s="404">
        <v>0</v>
      </c>
      <c r="AU97" s="404">
        <v>0</v>
      </c>
      <c r="AV97" s="404">
        <v>0</v>
      </c>
      <c r="AW97" s="404">
        <v>10000</v>
      </c>
      <c r="AX97" s="404">
        <v>92598</v>
      </c>
      <c r="AY97" s="404">
        <v>0</v>
      </c>
      <c r="AZ97" s="404">
        <v>0</v>
      </c>
      <c r="BA97" s="404">
        <v>0</v>
      </c>
      <c r="BB97" s="404">
        <v>358491</v>
      </c>
      <c r="BC97" s="404">
        <v>0</v>
      </c>
      <c r="BD97" s="404">
        <v>103451</v>
      </c>
      <c r="BE97" s="404">
        <v>78245</v>
      </c>
      <c r="BF97" s="404">
        <v>0</v>
      </c>
      <c r="BG97" s="404">
        <v>29922</v>
      </c>
      <c r="BH97" s="404">
        <v>130566</v>
      </c>
      <c r="BI97" s="404">
        <v>215378</v>
      </c>
      <c r="BJ97" s="404">
        <v>0</v>
      </c>
      <c r="BK97" s="404">
        <v>0</v>
      </c>
      <c r="BL97" s="404">
        <v>0</v>
      </c>
      <c r="BM97" s="404">
        <v>179834</v>
      </c>
      <c r="BN97" s="404">
        <v>163000</v>
      </c>
      <c r="BO97" s="404">
        <v>0</v>
      </c>
      <c r="BP97" s="404">
        <v>0</v>
      </c>
      <c r="BQ97" s="404">
        <v>0</v>
      </c>
      <c r="BR97" s="404">
        <v>0</v>
      </c>
      <c r="BS97" s="404">
        <v>0</v>
      </c>
      <c r="BT97" s="404">
        <v>0</v>
      </c>
      <c r="BU97" s="404">
        <v>123840</v>
      </c>
      <c r="BV97" s="404">
        <v>0</v>
      </c>
      <c r="BW97" s="404">
        <v>0</v>
      </c>
      <c r="BX97" s="404">
        <v>22714</v>
      </c>
      <c r="BY97" s="404">
        <v>359107</v>
      </c>
      <c r="BZ97" s="404">
        <v>0</v>
      </c>
      <c r="CA97" s="404">
        <v>0</v>
      </c>
      <c r="CB97" s="404">
        <v>674431</v>
      </c>
      <c r="CC97" s="404">
        <v>0</v>
      </c>
      <c r="CD97" s="404">
        <v>3543324</v>
      </c>
      <c r="CE97" s="404">
        <v>81703</v>
      </c>
      <c r="CF97" s="404">
        <v>40863</v>
      </c>
      <c r="CG97" s="404">
        <v>42000</v>
      </c>
      <c r="CH97" s="404">
        <v>167931</v>
      </c>
      <c r="CI97" s="404">
        <v>15543432</v>
      </c>
      <c r="CJ97" s="404">
        <v>352950</v>
      </c>
      <c r="CK97" s="404">
        <v>17336</v>
      </c>
      <c r="CL97" s="404">
        <v>0</v>
      </c>
      <c r="CM97" s="404">
        <v>0</v>
      </c>
      <c r="CN97" s="404">
        <v>0</v>
      </c>
      <c r="CO97" s="404">
        <v>0</v>
      </c>
      <c r="CP97" s="404">
        <v>234108</v>
      </c>
      <c r="CQ97" s="404">
        <v>0</v>
      </c>
      <c r="CR97" s="404">
        <v>0</v>
      </c>
    </row>
    <row r="98" spans="1:96" s="404" customFormat="1" x14ac:dyDescent="0.3">
      <c r="A98" s="404">
        <v>332</v>
      </c>
      <c r="B98" s="405">
        <v>332</v>
      </c>
      <c r="C98" s="404">
        <v>332</v>
      </c>
      <c r="D98" s="404" t="s">
        <v>248</v>
      </c>
      <c r="E98" s="404" t="s">
        <v>414</v>
      </c>
      <c r="F98" s="404">
        <v>0</v>
      </c>
      <c r="G98" s="404">
        <v>0</v>
      </c>
      <c r="H98" s="404">
        <v>0</v>
      </c>
      <c r="I98" s="404">
        <v>7448</v>
      </c>
      <c r="J98" s="404">
        <v>151530</v>
      </c>
      <c r="K98" s="404">
        <v>2805</v>
      </c>
      <c r="L98" s="404">
        <v>2187317</v>
      </c>
      <c r="M98" s="404">
        <v>0</v>
      </c>
      <c r="N98" s="404">
        <v>0</v>
      </c>
      <c r="O98" s="404">
        <v>18968</v>
      </c>
      <c r="P98" s="404">
        <v>966302</v>
      </c>
      <c r="Q98" s="404">
        <v>0</v>
      </c>
      <c r="R98" s="404">
        <v>1399</v>
      </c>
      <c r="S98" s="404">
        <v>0</v>
      </c>
      <c r="T98" s="404">
        <v>0</v>
      </c>
      <c r="U98" s="404">
        <v>0</v>
      </c>
      <c r="V98" s="404">
        <v>909573</v>
      </c>
      <c r="W98" s="404">
        <v>0</v>
      </c>
      <c r="X98" s="404">
        <v>181133</v>
      </c>
      <c r="Y98" s="404">
        <v>0</v>
      </c>
      <c r="Z98" s="404">
        <v>667846</v>
      </c>
      <c r="AA98" s="404">
        <v>0</v>
      </c>
      <c r="AB98" s="404">
        <v>972807</v>
      </c>
      <c r="AC98" s="404">
        <v>310994</v>
      </c>
      <c r="AD98" s="404">
        <v>30153</v>
      </c>
      <c r="AE98" s="404">
        <v>331632</v>
      </c>
      <c r="AF98" s="404">
        <v>2664651</v>
      </c>
      <c r="AG98" s="404">
        <v>0</v>
      </c>
      <c r="AH98" s="404">
        <v>0</v>
      </c>
      <c r="AI98" s="404">
        <v>0</v>
      </c>
      <c r="AJ98" s="404">
        <v>1756567</v>
      </c>
      <c r="AK98" s="404">
        <v>104645</v>
      </c>
      <c r="AL98" s="404">
        <v>369736</v>
      </c>
      <c r="AM98" s="404">
        <v>739738</v>
      </c>
      <c r="AN98" s="404">
        <v>76810</v>
      </c>
      <c r="AO98" s="404">
        <v>0</v>
      </c>
      <c r="AP98" s="404">
        <v>0</v>
      </c>
      <c r="AQ98" s="404">
        <v>146975</v>
      </c>
      <c r="AR98" s="404">
        <v>0</v>
      </c>
      <c r="AS98" s="404">
        <v>0</v>
      </c>
      <c r="AT98" s="404">
        <v>0</v>
      </c>
      <c r="AU98" s="404">
        <v>0</v>
      </c>
      <c r="AV98" s="404">
        <v>0</v>
      </c>
      <c r="AW98" s="404">
        <v>12258</v>
      </c>
      <c r="AX98" s="404">
        <v>379037</v>
      </c>
      <c r="AY98" s="404">
        <v>13375</v>
      </c>
      <c r="AZ98" s="404">
        <v>0</v>
      </c>
      <c r="BA98" s="404">
        <v>0</v>
      </c>
      <c r="BB98" s="404">
        <v>203317</v>
      </c>
      <c r="BC98" s="404">
        <v>0</v>
      </c>
      <c r="BD98" s="404">
        <v>15045</v>
      </c>
      <c r="BE98" s="404">
        <v>0</v>
      </c>
      <c r="BF98" s="404">
        <v>0</v>
      </c>
      <c r="BG98" s="404">
        <v>2276152</v>
      </c>
      <c r="BH98" s="404">
        <v>512140</v>
      </c>
      <c r="BI98" s="404">
        <v>826256</v>
      </c>
      <c r="BJ98" s="404">
        <v>0</v>
      </c>
      <c r="BK98" s="404">
        <v>0</v>
      </c>
      <c r="BL98" s="404">
        <v>0</v>
      </c>
      <c r="BM98" s="404">
        <v>1116661</v>
      </c>
      <c r="BN98" s="404">
        <v>1062682</v>
      </c>
      <c r="BO98" s="404">
        <v>0</v>
      </c>
      <c r="BP98" s="404">
        <v>0</v>
      </c>
      <c r="BQ98" s="404">
        <v>84364</v>
      </c>
      <c r="BR98" s="404">
        <v>0</v>
      </c>
      <c r="BS98" s="404">
        <v>0</v>
      </c>
      <c r="BT98" s="404">
        <v>0</v>
      </c>
      <c r="BU98" s="404">
        <v>627387</v>
      </c>
      <c r="BV98" s="404">
        <v>0</v>
      </c>
      <c r="BW98" s="404">
        <v>0</v>
      </c>
      <c r="BX98" s="404">
        <v>353270</v>
      </c>
      <c r="BY98" s="404">
        <v>1507060</v>
      </c>
      <c r="BZ98" s="404">
        <v>18512</v>
      </c>
      <c r="CA98" s="404">
        <v>0</v>
      </c>
      <c r="CB98" s="404">
        <v>150231</v>
      </c>
      <c r="CC98" s="404">
        <v>0</v>
      </c>
      <c r="CD98" s="404">
        <v>7651456</v>
      </c>
      <c r="CE98" s="404">
        <v>1283514</v>
      </c>
      <c r="CF98" s="404">
        <v>241077</v>
      </c>
      <c r="CG98" s="404">
        <v>0</v>
      </c>
      <c r="CH98" s="404">
        <v>55264</v>
      </c>
      <c r="CI98" s="404">
        <v>59970828</v>
      </c>
      <c r="CJ98" s="404">
        <v>78028</v>
      </c>
      <c r="CK98" s="404">
        <v>0</v>
      </c>
      <c r="CL98" s="404">
        <v>0</v>
      </c>
      <c r="CM98" s="404">
        <v>0</v>
      </c>
      <c r="CN98" s="404">
        <v>130710</v>
      </c>
      <c r="CO98" s="404">
        <v>130773</v>
      </c>
      <c r="CP98" s="404">
        <v>1688095</v>
      </c>
      <c r="CQ98" s="404">
        <v>0</v>
      </c>
      <c r="CR98" s="404">
        <v>0</v>
      </c>
    </row>
    <row r="99" spans="1:96" s="404" customFormat="1" x14ac:dyDescent="0.3">
      <c r="A99" s="404">
        <v>333</v>
      </c>
      <c r="B99" s="405">
        <v>333</v>
      </c>
      <c r="C99" s="404">
        <v>333</v>
      </c>
      <c r="D99" s="404" t="s">
        <v>184</v>
      </c>
      <c r="E99" s="404" t="s">
        <v>415</v>
      </c>
      <c r="F99" s="404">
        <v>435276</v>
      </c>
      <c r="G99" s="404">
        <v>10476773</v>
      </c>
      <c r="H99" s="404">
        <v>940226</v>
      </c>
      <c r="I99" s="404">
        <v>1353615</v>
      </c>
      <c r="J99" s="404">
        <v>434124</v>
      </c>
      <c r="K99" s="404">
        <v>710206</v>
      </c>
      <c r="L99" s="404">
        <v>31493528</v>
      </c>
      <c r="M99" s="404">
        <v>481740</v>
      </c>
      <c r="N99" s="404">
        <v>259452</v>
      </c>
      <c r="O99" s="404">
        <v>2923908</v>
      </c>
      <c r="P99" s="404">
        <v>611051</v>
      </c>
      <c r="Q99" s="404">
        <v>257672</v>
      </c>
      <c r="R99" s="404">
        <v>284350</v>
      </c>
      <c r="S99" s="404">
        <v>1209060</v>
      </c>
      <c r="T99" s="404">
        <v>7008537</v>
      </c>
      <c r="U99" s="404">
        <v>10854948</v>
      </c>
      <c r="V99" s="404">
        <v>13015865</v>
      </c>
      <c r="W99" s="404">
        <v>3441635</v>
      </c>
      <c r="X99" s="404">
        <v>3699886</v>
      </c>
      <c r="Y99" s="404">
        <v>8430356</v>
      </c>
      <c r="Z99" s="404">
        <v>1946272</v>
      </c>
      <c r="AA99" s="404">
        <v>60495</v>
      </c>
      <c r="AB99" s="404">
        <v>2849741</v>
      </c>
      <c r="AC99" s="404">
        <v>887194</v>
      </c>
      <c r="AD99" s="404">
        <v>532920</v>
      </c>
      <c r="AE99" s="404">
        <v>590093</v>
      </c>
      <c r="AF99" s="404">
        <v>12616686</v>
      </c>
      <c r="AG99" s="404">
        <v>1343945</v>
      </c>
      <c r="AH99" s="404">
        <v>10443740</v>
      </c>
      <c r="AI99" s="404">
        <v>2452505</v>
      </c>
      <c r="AJ99" s="404">
        <v>915955</v>
      </c>
      <c r="AK99" s="404">
        <v>7075761</v>
      </c>
      <c r="AL99" s="404">
        <v>3073778</v>
      </c>
      <c r="AM99" s="404">
        <v>1045699</v>
      </c>
      <c r="AN99" s="404">
        <v>1419406</v>
      </c>
      <c r="AO99" s="404">
        <v>96933</v>
      </c>
      <c r="AP99" s="404">
        <v>3139772</v>
      </c>
      <c r="AQ99" s="404">
        <v>6046665</v>
      </c>
      <c r="AR99" s="404">
        <v>0</v>
      </c>
      <c r="AS99" s="404">
        <v>372858</v>
      </c>
      <c r="AT99" s="404">
        <v>1583453</v>
      </c>
      <c r="AU99" s="404">
        <v>426134</v>
      </c>
      <c r="AV99" s="404">
        <v>64557</v>
      </c>
      <c r="AW99" s="404">
        <v>115573</v>
      </c>
      <c r="AX99" s="404">
        <v>3078002</v>
      </c>
      <c r="AY99" s="404">
        <v>932849</v>
      </c>
      <c r="AZ99" s="404">
        <v>14775788</v>
      </c>
      <c r="BA99" s="404">
        <v>4102375</v>
      </c>
      <c r="BB99" s="404">
        <v>2721631</v>
      </c>
      <c r="BC99" s="404">
        <v>3518608</v>
      </c>
      <c r="BD99" s="404">
        <v>1249858</v>
      </c>
      <c r="BE99" s="404">
        <v>1394155</v>
      </c>
      <c r="BF99" s="404">
        <v>234551</v>
      </c>
      <c r="BG99" s="404">
        <v>659900</v>
      </c>
      <c r="BH99" s="404">
        <v>2601540</v>
      </c>
      <c r="BI99" s="404">
        <v>12770246</v>
      </c>
      <c r="BJ99" s="404">
        <v>358426</v>
      </c>
      <c r="BK99" s="404">
        <v>240067</v>
      </c>
      <c r="BL99" s="404">
        <v>7956240</v>
      </c>
      <c r="BM99" s="404">
        <v>9931287</v>
      </c>
      <c r="BN99" s="404">
        <v>7150651</v>
      </c>
      <c r="BO99" s="404">
        <v>128163</v>
      </c>
      <c r="BP99" s="404">
        <v>3443904</v>
      </c>
      <c r="BQ99" s="404">
        <v>1754721</v>
      </c>
      <c r="BR99" s="404">
        <v>8161101</v>
      </c>
      <c r="BS99" s="404">
        <v>1807894</v>
      </c>
      <c r="BT99" s="404">
        <v>1504696</v>
      </c>
      <c r="BU99" s="404">
        <v>1970814</v>
      </c>
      <c r="BV99" s="404">
        <v>1436172</v>
      </c>
      <c r="BW99" s="404">
        <v>0</v>
      </c>
      <c r="BX99" s="404">
        <v>1071907</v>
      </c>
      <c r="BY99" s="404">
        <v>3172684</v>
      </c>
      <c r="BZ99" s="404">
        <v>605154</v>
      </c>
      <c r="CA99" s="404">
        <v>0</v>
      </c>
      <c r="CB99" s="404">
        <v>4262949</v>
      </c>
      <c r="CC99" s="404">
        <v>141944615</v>
      </c>
      <c r="CD99" s="404">
        <v>44929647</v>
      </c>
      <c r="CE99" s="404">
        <v>1194259</v>
      </c>
      <c r="CF99" s="404">
        <v>1199203</v>
      </c>
      <c r="CG99" s="404">
        <v>184506</v>
      </c>
      <c r="CH99" s="404">
        <v>1099642</v>
      </c>
      <c r="CI99" s="404">
        <v>172253343</v>
      </c>
      <c r="CJ99" s="404">
        <v>10798865</v>
      </c>
      <c r="CK99" s="404">
        <v>1127164</v>
      </c>
      <c r="CL99" s="404">
        <v>2696271</v>
      </c>
      <c r="CM99" s="404">
        <v>984361</v>
      </c>
      <c r="CN99" s="404">
        <v>18517289</v>
      </c>
      <c r="CO99" s="404">
        <v>3013816</v>
      </c>
      <c r="CP99" s="404">
        <v>1698685</v>
      </c>
      <c r="CQ99" s="404">
        <v>2651703</v>
      </c>
      <c r="CR99" s="404">
        <v>12271942</v>
      </c>
    </row>
    <row r="100" spans="1:96" s="404" customFormat="1" x14ac:dyDescent="0.3">
      <c r="A100" s="404">
        <v>334</v>
      </c>
      <c r="B100" s="405">
        <v>334</v>
      </c>
      <c r="C100" s="404">
        <v>334</v>
      </c>
      <c r="D100" s="404" t="s">
        <v>275</v>
      </c>
      <c r="E100" s="404" t="s">
        <v>416</v>
      </c>
      <c r="F100" s="404">
        <v>174113</v>
      </c>
      <c r="G100" s="404">
        <v>43271812</v>
      </c>
      <c r="H100" s="404">
        <v>1872015</v>
      </c>
      <c r="I100" s="404">
        <v>8078282</v>
      </c>
      <c r="J100" s="404">
        <v>2285469</v>
      </c>
      <c r="K100" s="404">
        <v>2328333</v>
      </c>
      <c r="L100" s="404">
        <v>87611399</v>
      </c>
      <c r="M100" s="404">
        <v>1051160</v>
      </c>
      <c r="N100" s="404">
        <v>452137</v>
      </c>
      <c r="O100" s="404">
        <v>2502224</v>
      </c>
      <c r="P100" s="404">
        <v>2464012</v>
      </c>
      <c r="Q100" s="404">
        <v>30118</v>
      </c>
      <c r="R100" s="404">
        <v>607040</v>
      </c>
      <c r="S100" s="404">
        <v>4893923</v>
      </c>
      <c r="T100" s="404">
        <v>7082404</v>
      </c>
      <c r="U100" s="404">
        <v>14989642</v>
      </c>
      <c r="V100" s="404">
        <v>12987143</v>
      </c>
      <c r="W100" s="404">
        <v>10631643</v>
      </c>
      <c r="X100" s="404">
        <v>314421</v>
      </c>
      <c r="Y100" s="404">
        <v>12668637</v>
      </c>
      <c r="Z100" s="404">
        <v>7190446</v>
      </c>
      <c r="AA100" s="404">
        <v>91214</v>
      </c>
      <c r="AB100" s="404">
        <v>72503449</v>
      </c>
      <c r="AC100" s="404">
        <v>2601596</v>
      </c>
      <c r="AD100" s="404">
        <v>1103706</v>
      </c>
      <c r="AE100" s="404">
        <v>346884</v>
      </c>
      <c r="AF100" s="404">
        <v>44229956</v>
      </c>
      <c r="AG100" s="404">
        <v>2778469</v>
      </c>
      <c r="AH100" s="404">
        <v>3474611</v>
      </c>
      <c r="AI100" s="404">
        <v>4880882</v>
      </c>
      <c r="AJ100" s="404">
        <v>156842</v>
      </c>
      <c r="AK100" s="404">
        <v>3277157</v>
      </c>
      <c r="AL100" s="404">
        <v>7556780</v>
      </c>
      <c r="AM100" s="404">
        <v>7323938</v>
      </c>
      <c r="AN100" s="404">
        <v>5856872</v>
      </c>
      <c r="AO100" s="404">
        <v>130151</v>
      </c>
      <c r="AP100" s="404">
        <v>103863</v>
      </c>
      <c r="AQ100" s="404">
        <v>11294206</v>
      </c>
      <c r="AR100" s="404">
        <v>0</v>
      </c>
      <c r="AS100" s="404">
        <v>305964</v>
      </c>
      <c r="AT100" s="404">
        <v>576730</v>
      </c>
      <c r="AU100" s="404">
        <v>1195734</v>
      </c>
      <c r="AV100" s="404">
        <v>217268</v>
      </c>
      <c r="AW100" s="404">
        <v>1136132</v>
      </c>
      <c r="AX100" s="404">
        <v>8280586</v>
      </c>
      <c r="AY100" s="404">
        <v>2528744</v>
      </c>
      <c r="AZ100" s="404">
        <v>267227763</v>
      </c>
      <c r="BA100" s="404">
        <v>4314020</v>
      </c>
      <c r="BB100" s="404">
        <v>12208740</v>
      </c>
      <c r="BC100" s="404">
        <v>3658683</v>
      </c>
      <c r="BD100" s="404">
        <v>1552232</v>
      </c>
      <c r="BE100" s="404">
        <v>7307382</v>
      </c>
      <c r="BF100" s="404">
        <v>127123</v>
      </c>
      <c r="BG100" s="404">
        <v>738377</v>
      </c>
      <c r="BH100" s="404">
        <v>3836043</v>
      </c>
      <c r="BI100" s="404">
        <v>30613485</v>
      </c>
      <c r="BJ100" s="404">
        <v>302606</v>
      </c>
      <c r="BK100" s="404">
        <v>68009</v>
      </c>
      <c r="BL100" s="404">
        <v>81903027</v>
      </c>
      <c r="BM100" s="404">
        <v>60211939</v>
      </c>
      <c r="BN100" s="404">
        <v>16746070</v>
      </c>
      <c r="BO100" s="404">
        <v>340168</v>
      </c>
      <c r="BP100" s="404">
        <v>1481081</v>
      </c>
      <c r="BQ100" s="404">
        <v>4634754</v>
      </c>
      <c r="BR100" s="404">
        <v>8496842</v>
      </c>
      <c r="BS100" s="404">
        <v>3129040</v>
      </c>
      <c r="BT100" s="404">
        <v>2392115</v>
      </c>
      <c r="BU100" s="404">
        <v>6526920</v>
      </c>
      <c r="BV100" s="404">
        <v>10237340</v>
      </c>
      <c r="BW100" s="404">
        <v>0</v>
      </c>
      <c r="BX100" s="404">
        <v>5257261</v>
      </c>
      <c r="BY100" s="404">
        <v>15607109</v>
      </c>
      <c r="BZ100" s="404">
        <v>343605</v>
      </c>
      <c r="CA100" s="404">
        <v>0</v>
      </c>
      <c r="CB100" s="404">
        <v>19727424</v>
      </c>
      <c r="CC100" s="404">
        <v>551335238</v>
      </c>
      <c r="CD100" s="404">
        <v>107330824</v>
      </c>
      <c r="CE100" s="404">
        <v>1029023</v>
      </c>
      <c r="CF100" s="404">
        <v>8502968</v>
      </c>
      <c r="CG100" s="404">
        <v>1925537</v>
      </c>
      <c r="CH100" s="404">
        <v>6281293</v>
      </c>
      <c r="CI100" s="404">
        <v>645425449</v>
      </c>
      <c r="CJ100" s="404">
        <v>45439681</v>
      </c>
      <c r="CK100" s="404">
        <v>2062243</v>
      </c>
      <c r="CL100" s="404">
        <v>3408615</v>
      </c>
      <c r="CM100" s="404">
        <v>1450233</v>
      </c>
      <c r="CN100" s="404">
        <v>16627593</v>
      </c>
      <c r="CO100" s="404">
        <v>6393590</v>
      </c>
      <c r="CP100" s="404">
        <v>4330087</v>
      </c>
      <c r="CQ100" s="404">
        <v>2615524</v>
      </c>
      <c r="CR100" s="404">
        <v>36940090</v>
      </c>
    </row>
    <row r="101" spans="1:96" s="404" customFormat="1" x14ac:dyDescent="0.3">
      <c r="A101" s="404">
        <v>335</v>
      </c>
      <c r="B101" s="405">
        <v>335</v>
      </c>
      <c r="C101" s="404">
        <v>335</v>
      </c>
      <c r="D101" s="404" t="s">
        <v>117</v>
      </c>
      <c r="E101" s="404" t="s">
        <v>417</v>
      </c>
      <c r="F101" s="404">
        <v>0</v>
      </c>
      <c r="G101" s="404">
        <v>135</v>
      </c>
      <c r="H101" s="404">
        <v>0</v>
      </c>
      <c r="I101" s="404">
        <v>0</v>
      </c>
      <c r="J101" s="404">
        <v>0</v>
      </c>
      <c r="K101" s="404">
        <v>0</v>
      </c>
      <c r="L101" s="404">
        <v>0</v>
      </c>
      <c r="M101" s="404">
        <v>0</v>
      </c>
      <c r="N101" s="404">
        <v>0</v>
      </c>
      <c r="O101" s="404">
        <v>0</v>
      </c>
      <c r="P101" s="404">
        <v>0</v>
      </c>
      <c r="Q101" s="404">
        <v>0</v>
      </c>
      <c r="R101" s="404">
        <v>0</v>
      </c>
      <c r="S101" s="404">
        <v>0</v>
      </c>
      <c r="T101" s="404">
        <v>0</v>
      </c>
      <c r="U101" s="404">
        <v>0</v>
      </c>
      <c r="V101" s="404">
        <v>0</v>
      </c>
      <c r="W101" s="404">
        <v>0</v>
      </c>
      <c r="X101" s="404">
        <v>0</v>
      </c>
      <c r="Y101" s="404">
        <v>0</v>
      </c>
      <c r="Z101" s="404">
        <v>0</v>
      </c>
      <c r="AA101" s="404">
        <v>0</v>
      </c>
      <c r="AB101" s="404">
        <v>0</v>
      </c>
      <c r="AC101" s="404">
        <v>0</v>
      </c>
      <c r="AD101" s="404">
        <v>0</v>
      </c>
      <c r="AE101" s="404">
        <v>0</v>
      </c>
      <c r="AF101" s="404">
        <v>0</v>
      </c>
      <c r="AG101" s="404">
        <v>0</v>
      </c>
      <c r="AH101" s="404">
        <v>0</v>
      </c>
      <c r="AI101" s="404">
        <v>0</v>
      </c>
      <c r="AJ101" s="404">
        <v>255077</v>
      </c>
      <c r="AK101" s="404">
        <v>0</v>
      </c>
      <c r="AL101" s="404">
        <v>0</v>
      </c>
      <c r="AM101" s="404">
        <v>2107</v>
      </c>
      <c r="AN101" s="404">
        <v>0</v>
      </c>
      <c r="AO101" s="404">
        <v>0</v>
      </c>
      <c r="AP101" s="404">
        <v>0</v>
      </c>
      <c r="AQ101" s="404">
        <v>0</v>
      </c>
      <c r="AR101" s="404">
        <v>0</v>
      </c>
      <c r="AS101" s="404">
        <v>0</v>
      </c>
      <c r="AT101" s="404">
        <v>0</v>
      </c>
      <c r="AU101" s="404">
        <v>0</v>
      </c>
      <c r="AV101" s="404">
        <v>0</v>
      </c>
      <c r="AW101" s="404">
        <v>0</v>
      </c>
      <c r="AX101" s="404">
        <v>0</v>
      </c>
      <c r="AY101" s="404">
        <v>0</v>
      </c>
      <c r="AZ101" s="404">
        <v>0</v>
      </c>
      <c r="BA101" s="404">
        <v>0</v>
      </c>
      <c r="BB101" s="404">
        <v>0</v>
      </c>
      <c r="BC101" s="404">
        <v>0</v>
      </c>
      <c r="BD101" s="404">
        <v>0</v>
      </c>
      <c r="BE101" s="404">
        <v>0</v>
      </c>
      <c r="BF101" s="404">
        <v>0</v>
      </c>
      <c r="BG101" s="404">
        <v>0</v>
      </c>
      <c r="BH101" s="404">
        <v>0</v>
      </c>
      <c r="BI101" s="404">
        <v>0</v>
      </c>
      <c r="BJ101" s="404">
        <v>0</v>
      </c>
      <c r="BK101" s="404">
        <v>0</v>
      </c>
      <c r="BL101" s="404">
        <v>188920</v>
      </c>
      <c r="BM101" s="404">
        <v>0</v>
      </c>
      <c r="BN101" s="404">
        <v>0</v>
      </c>
      <c r="BO101" s="404">
        <v>0</v>
      </c>
      <c r="BP101" s="404">
        <v>0</v>
      </c>
      <c r="BQ101" s="404">
        <v>0</v>
      </c>
      <c r="BR101" s="404">
        <v>0</v>
      </c>
      <c r="BS101" s="404">
        <v>0</v>
      </c>
      <c r="BT101" s="404">
        <v>0</v>
      </c>
      <c r="BU101" s="404">
        <v>0</v>
      </c>
      <c r="BV101" s="404">
        <v>0</v>
      </c>
      <c r="BW101" s="404">
        <v>0</v>
      </c>
      <c r="BX101" s="404">
        <v>0</v>
      </c>
      <c r="BY101" s="404">
        <v>69669</v>
      </c>
      <c r="BZ101" s="404">
        <v>0</v>
      </c>
      <c r="CA101" s="404">
        <v>0</v>
      </c>
      <c r="CB101" s="404">
        <v>0</v>
      </c>
      <c r="CC101" s="404">
        <v>342117</v>
      </c>
      <c r="CD101" s="404">
        <v>0</v>
      </c>
      <c r="CE101" s="404">
        <v>0</v>
      </c>
      <c r="CF101" s="404">
        <v>0</v>
      </c>
      <c r="CG101" s="404">
        <v>0</v>
      </c>
      <c r="CH101" s="404">
        <v>0</v>
      </c>
      <c r="CI101" s="404">
        <v>12407</v>
      </c>
      <c r="CJ101" s="404">
        <v>0</v>
      </c>
      <c r="CK101" s="404">
        <v>0</v>
      </c>
      <c r="CL101" s="404">
        <v>0</v>
      </c>
      <c r="CM101" s="404">
        <v>0</v>
      </c>
      <c r="CN101" s="404">
        <v>0</v>
      </c>
      <c r="CO101" s="404">
        <v>0</v>
      </c>
      <c r="CP101" s="404">
        <v>0</v>
      </c>
      <c r="CQ101" s="404">
        <v>0</v>
      </c>
      <c r="CR101" s="404">
        <v>0</v>
      </c>
    </row>
    <row r="102" spans="1:96" s="404" customFormat="1" x14ac:dyDescent="0.3">
      <c r="A102" s="404">
        <v>336</v>
      </c>
      <c r="B102" s="405" t="s">
        <v>1791</v>
      </c>
      <c r="C102" s="404">
        <v>336</v>
      </c>
      <c r="D102" s="404" t="s">
        <v>636</v>
      </c>
      <c r="E102" s="404" t="s">
        <v>418</v>
      </c>
      <c r="F102" s="404">
        <v>3381</v>
      </c>
      <c r="G102" s="404">
        <v>741049</v>
      </c>
      <c r="H102" s="404">
        <v>21472</v>
      </c>
      <c r="I102" s="404">
        <v>357508</v>
      </c>
      <c r="J102" s="404">
        <v>9877</v>
      </c>
      <c r="K102" s="404">
        <v>17853</v>
      </c>
      <c r="L102" s="404">
        <v>3184423</v>
      </c>
      <c r="M102" s="404">
        <v>571197</v>
      </c>
      <c r="N102" s="404">
        <v>12481</v>
      </c>
      <c r="O102" s="404">
        <v>9106</v>
      </c>
      <c r="P102" s="404">
        <v>104111</v>
      </c>
      <c r="Q102" s="404">
        <v>652</v>
      </c>
      <c r="R102" s="404">
        <v>3058</v>
      </c>
      <c r="S102" s="404">
        <v>283117</v>
      </c>
      <c r="T102" s="404">
        <v>141866</v>
      </c>
      <c r="U102" s="404">
        <v>594098</v>
      </c>
      <c r="V102" s="404">
        <v>172387</v>
      </c>
      <c r="W102" s="404">
        <v>717661</v>
      </c>
      <c r="X102" s="404">
        <v>19431</v>
      </c>
      <c r="Y102" s="404">
        <v>291155</v>
      </c>
      <c r="Z102" s="404">
        <v>65750</v>
      </c>
      <c r="AA102" s="404">
        <v>1772</v>
      </c>
      <c r="AB102" s="404">
        <v>429092</v>
      </c>
      <c r="AC102" s="404">
        <v>39718</v>
      </c>
      <c r="AD102" s="404">
        <v>22700</v>
      </c>
      <c r="AE102" s="404">
        <v>0</v>
      </c>
      <c r="AF102" s="404">
        <v>2399006</v>
      </c>
      <c r="AG102" s="404">
        <v>23983</v>
      </c>
      <c r="AH102" s="404">
        <v>297722</v>
      </c>
      <c r="AI102" s="404">
        <v>22509</v>
      </c>
      <c r="AJ102" s="404">
        <v>5403</v>
      </c>
      <c r="AK102" s="404">
        <v>50918</v>
      </c>
      <c r="AL102" s="404">
        <v>615388</v>
      </c>
      <c r="AM102" s="404">
        <v>259744</v>
      </c>
      <c r="AN102" s="404">
        <v>0</v>
      </c>
      <c r="AO102" s="404">
        <v>2907</v>
      </c>
      <c r="AP102" s="404">
        <v>77353</v>
      </c>
      <c r="AQ102" s="404">
        <v>204396</v>
      </c>
      <c r="AR102" s="404">
        <v>0</v>
      </c>
      <c r="AS102" s="404">
        <v>6064</v>
      </c>
      <c r="AT102" s="404">
        <v>0</v>
      </c>
      <c r="AU102" s="404">
        <v>50842</v>
      </c>
      <c r="AV102" s="404">
        <v>0</v>
      </c>
      <c r="AW102" s="404">
        <v>12629</v>
      </c>
      <c r="AX102" s="404">
        <v>272911</v>
      </c>
      <c r="AY102" s="404">
        <v>9079</v>
      </c>
      <c r="AZ102" s="404">
        <v>13804355</v>
      </c>
      <c r="BA102" s="404">
        <v>88754</v>
      </c>
      <c r="BB102" s="404">
        <v>1409131</v>
      </c>
      <c r="BC102" s="404">
        <v>0</v>
      </c>
      <c r="BD102" s="404">
        <v>40113</v>
      </c>
      <c r="BE102" s="404">
        <v>86317</v>
      </c>
      <c r="BF102" s="404">
        <v>11240</v>
      </c>
      <c r="BG102" s="404">
        <v>17515</v>
      </c>
      <c r="BH102" s="404">
        <v>105303</v>
      </c>
      <c r="BI102" s="404">
        <v>1242837</v>
      </c>
      <c r="BJ102" s="404">
        <v>5218</v>
      </c>
      <c r="BK102" s="404">
        <v>0</v>
      </c>
      <c r="BL102" s="404">
        <v>1059640</v>
      </c>
      <c r="BM102" s="404">
        <v>1257834</v>
      </c>
      <c r="BN102" s="404">
        <v>809813</v>
      </c>
      <c r="BO102" s="404">
        <v>2596</v>
      </c>
      <c r="BP102" s="404">
        <v>143593</v>
      </c>
      <c r="BQ102" s="404">
        <v>70197</v>
      </c>
      <c r="BR102" s="404">
        <v>843297</v>
      </c>
      <c r="BS102" s="404">
        <v>139787</v>
      </c>
      <c r="BT102" s="404">
        <v>47379</v>
      </c>
      <c r="BU102" s="404">
        <v>200958</v>
      </c>
      <c r="BV102" s="404">
        <v>402351</v>
      </c>
      <c r="BW102" s="404">
        <v>0</v>
      </c>
      <c r="BX102" s="404">
        <v>0</v>
      </c>
      <c r="BY102" s="404">
        <v>851511</v>
      </c>
      <c r="BZ102" s="404">
        <v>7458</v>
      </c>
      <c r="CA102" s="404">
        <v>0</v>
      </c>
      <c r="CB102" s="404">
        <v>5168942</v>
      </c>
      <c r="CC102" s="404">
        <v>26553177</v>
      </c>
      <c r="CD102" s="404">
        <v>7494485</v>
      </c>
      <c r="CE102" s="404">
        <v>35942</v>
      </c>
      <c r="CF102" s="404">
        <v>371234</v>
      </c>
      <c r="CG102" s="404">
        <v>43967</v>
      </c>
      <c r="CH102" s="404">
        <v>145811</v>
      </c>
      <c r="CI102" s="404">
        <v>51763730</v>
      </c>
      <c r="CJ102" s="404">
        <v>4232136</v>
      </c>
      <c r="CK102" s="404">
        <v>0</v>
      </c>
      <c r="CL102" s="404">
        <v>113449</v>
      </c>
      <c r="CM102" s="404">
        <v>43544</v>
      </c>
      <c r="CN102" s="404">
        <v>1213630</v>
      </c>
      <c r="CO102" s="404">
        <v>111978</v>
      </c>
      <c r="CP102" s="404">
        <v>119261</v>
      </c>
      <c r="CQ102" s="404">
        <v>569898</v>
      </c>
      <c r="CR102" s="404">
        <v>1505291</v>
      </c>
    </row>
    <row r="103" spans="1:96" s="404" customFormat="1" x14ac:dyDescent="0.3">
      <c r="A103" s="404">
        <v>337</v>
      </c>
      <c r="B103" s="405">
        <v>337</v>
      </c>
      <c r="C103" s="404">
        <v>337</v>
      </c>
      <c r="D103" s="404" t="s">
        <v>254</v>
      </c>
      <c r="E103" s="404" t="s">
        <v>419</v>
      </c>
      <c r="F103" s="404">
        <v>0</v>
      </c>
      <c r="G103" s="404">
        <v>2626200</v>
      </c>
      <c r="H103" s="404">
        <v>0</v>
      </c>
      <c r="I103" s="404">
        <v>2436844</v>
      </c>
      <c r="J103" s="404">
        <v>0</v>
      </c>
      <c r="K103" s="404">
        <v>76358</v>
      </c>
      <c r="L103" s="404">
        <v>1950000</v>
      </c>
      <c r="M103" s="404">
        <v>43944</v>
      </c>
      <c r="N103" s="404">
        <v>0</v>
      </c>
      <c r="O103" s="404">
        <v>0</v>
      </c>
      <c r="P103" s="404">
        <v>271231</v>
      </c>
      <c r="Q103" s="404">
        <v>0</v>
      </c>
      <c r="R103" s="404">
        <v>0</v>
      </c>
      <c r="S103" s="404">
        <v>1119167</v>
      </c>
      <c r="T103" s="404">
        <v>0</v>
      </c>
      <c r="U103" s="404">
        <v>307138</v>
      </c>
      <c r="V103" s="404">
        <v>1064873</v>
      </c>
      <c r="W103" s="404">
        <v>1612576</v>
      </c>
      <c r="X103" s="404">
        <v>0</v>
      </c>
      <c r="Y103" s="404">
        <v>755398</v>
      </c>
      <c r="Z103" s="404">
        <v>201449</v>
      </c>
      <c r="AA103" s="404">
        <v>0</v>
      </c>
      <c r="AB103" s="404">
        <v>0</v>
      </c>
      <c r="AC103" s="404">
        <v>0</v>
      </c>
      <c r="AD103" s="404">
        <v>0</v>
      </c>
      <c r="AE103" s="404">
        <v>0</v>
      </c>
      <c r="AF103" s="404">
        <v>15340842</v>
      </c>
      <c r="AG103" s="404">
        <v>0</v>
      </c>
      <c r="AH103" s="404">
        <v>185326</v>
      </c>
      <c r="AI103" s="404">
        <v>0</v>
      </c>
      <c r="AJ103" s="404">
        <v>0</v>
      </c>
      <c r="AK103" s="404">
        <v>0</v>
      </c>
      <c r="AL103" s="404">
        <v>2152612</v>
      </c>
      <c r="AM103" s="404">
        <v>1009028</v>
      </c>
      <c r="AN103" s="404">
        <v>221224</v>
      </c>
      <c r="AO103" s="404">
        <v>0</v>
      </c>
      <c r="AP103" s="404">
        <v>0</v>
      </c>
      <c r="AQ103" s="404">
        <v>3098170</v>
      </c>
      <c r="AR103" s="404">
        <v>0</v>
      </c>
      <c r="AS103" s="404">
        <v>62994</v>
      </c>
      <c r="AT103" s="404">
        <v>0</v>
      </c>
      <c r="AU103" s="404">
        <v>424016</v>
      </c>
      <c r="AV103" s="404">
        <v>0</v>
      </c>
      <c r="AW103" s="404">
        <v>53837</v>
      </c>
      <c r="AX103" s="404">
        <v>1164769</v>
      </c>
      <c r="AY103" s="404">
        <v>434054</v>
      </c>
      <c r="AZ103" s="404">
        <v>38852970</v>
      </c>
      <c r="BA103" s="404">
        <v>0</v>
      </c>
      <c r="BB103" s="404">
        <v>854969</v>
      </c>
      <c r="BC103" s="404">
        <v>0</v>
      </c>
      <c r="BD103" s="404">
        <v>89838</v>
      </c>
      <c r="BE103" s="404">
        <v>0</v>
      </c>
      <c r="BF103" s="404">
        <v>0</v>
      </c>
      <c r="BG103" s="404">
        <v>120426</v>
      </c>
      <c r="BH103" s="404">
        <v>13388</v>
      </c>
      <c r="BI103" s="404">
        <v>1186386</v>
      </c>
      <c r="BJ103" s="404">
        <v>0</v>
      </c>
      <c r="BK103" s="404">
        <v>0</v>
      </c>
      <c r="BL103" s="404">
        <v>3995597</v>
      </c>
      <c r="BM103" s="404">
        <v>4673685</v>
      </c>
      <c r="BN103" s="404">
        <v>486433</v>
      </c>
      <c r="BO103" s="404">
        <v>0</v>
      </c>
      <c r="BP103" s="404">
        <v>0</v>
      </c>
      <c r="BQ103" s="404">
        <v>0</v>
      </c>
      <c r="BR103" s="404">
        <v>2105060</v>
      </c>
      <c r="BS103" s="404">
        <v>0</v>
      </c>
      <c r="BT103" s="404">
        <v>0</v>
      </c>
      <c r="BU103" s="404">
        <v>177256</v>
      </c>
      <c r="BV103" s="404">
        <v>3111021</v>
      </c>
      <c r="BW103" s="404">
        <v>0</v>
      </c>
      <c r="BX103" s="404">
        <v>159313</v>
      </c>
      <c r="BY103" s="404">
        <v>3986684</v>
      </c>
      <c r="BZ103" s="404">
        <v>0</v>
      </c>
      <c r="CA103" s="404">
        <v>0</v>
      </c>
      <c r="CB103" s="404">
        <v>5119594</v>
      </c>
      <c r="CC103" s="404">
        <v>221550749</v>
      </c>
      <c r="CD103" s="404">
        <v>637906</v>
      </c>
      <c r="CE103" s="404">
        <v>204986</v>
      </c>
      <c r="CF103" s="404">
        <v>0</v>
      </c>
      <c r="CG103" s="404">
        <v>264476</v>
      </c>
      <c r="CH103" s="404">
        <v>2162592</v>
      </c>
      <c r="CI103" s="404">
        <v>320276022</v>
      </c>
      <c r="CJ103" s="404">
        <v>2967050</v>
      </c>
      <c r="CK103" s="404">
        <v>369350</v>
      </c>
      <c r="CL103" s="404">
        <v>339129</v>
      </c>
      <c r="CM103" s="404">
        <v>137176</v>
      </c>
      <c r="CN103" s="404">
        <v>1714286</v>
      </c>
      <c r="CO103" s="404">
        <v>186666</v>
      </c>
      <c r="CP103" s="404">
        <v>562947</v>
      </c>
      <c r="CQ103" s="404">
        <v>910184</v>
      </c>
      <c r="CR103" s="404">
        <v>3498734</v>
      </c>
    </row>
    <row r="104" spans="1:96" s="404" customFormat="1" x14ac:dyDescent="0.3">
      <c r="A104" s="404">
        <v>338</v>
      </c>
      <c r="B104" s="405">
        <v>338</v>
      </c>
      <c r="C104" s="404">
        <v>338</v>
      </c>
      <c r="D104" s="404" t="s">
        <v>116</v>
      </c>
      <c r="E104" s="404" t="s">
        <v>420</v>
      </c>
      <c r="F104" s="404">
        <v>3381</v>
      </c>
      <c r="G104" s="404">
        <v>4775782</v>
      </c>
      <c r="H104" s="404">
        <v>304249</v>
      </c>
      <c r="I104" s="404">
        <v>2697963</v>
      </c>
      <c r="J104" s="404">
        <v>289178</v>
      </c>
      <c r="K104" s="404">
        <v>188331</v>
      </c>
      <c r="L104" s="404">
        <v>16973794</v>
      </c>
      <c r="M104" s="404">
        <v>995053</v>
      </c>
      <c r="N104" s="404">
        <v>12481</v>
      </c>
      <c r="O104" s="404">
        <v>13419</v>
      </c>
      <c r="P104" s="404">
        <v>755184</v>
      </c>
      <c r="Q104" s="404">
        <v>652</v>
      </c>
      <c r="R104" s="404">
        <v>13938</v>
      </c>
      <c r="S104" s="404">
        <v>1685713</v>
      </c>
      <c r="T104" s="404">
        <v>357496</v>
      </c>
      <c r="U104" s="404">
        <v>9759603</v>
      </c>
      <c r="V104" s="404">
        <v>3616398</v>
      </c>
      <c r="W104" s="404">
        <v>3658463</v>
      </c>
      <c r="X104" s="404">
        <v>19431</v>
      </c>
      <c r="Y104" s="404">
        <v>2844888</v>
      </c>
      <c r="Z104" s="404">
        <v>859421</v>
      </c>
      <c r="AA104" s="404">
        <v>1772</v>
      </c>
      <c r="AB104" s="404">
        <v>21880902</v>
      </c>
      <c r="AC104" s="404">
        <v>1958233</v>
      </c>
      <c r="AD104" s="404">
        <v>124934</v>
      </c>
      <c r="AE104" s="404">
        <v>33486</v>
      </c>
      <c r="AF104" s="404">
        <v>32961627</v>
      </c>
      <c r="AG104" s="404">
        <v>68962</v>
      </c>
      <c r="AH104" s="404">
        <v>4595056</v>
      </c>
      <c r="AI104" s="404">
        <v>541808</v>
      </c>
      <c r="AJ104" s="404">
        <v>260480</v>
      </c>
      <c r="AK104" s="404">
        <v>190909</v>
      </c>
      <c r="AL104" s="404">
        <v>3762712</v>
      </c>
      <c r="AM104" s="404">
        <v>2053941</v>
      </c>
      <c r="AN104" s="404">
        <v>1075469</v>
      </c>
      <c r="AO104" s="404">
        <v>9734</v>
      </c>
      <c r="AP104" s="404">
        <v>94012</v>
      </c>
      <c r="AQ104" s="404">
        <v>5323824</v>
      </c>
      <c r="AR104" s="404">
        <v>0</v>
      </c>
      <c r="AS104" s="404">
        <v>65671</v>
      </c>
      <c r="AT104" s="404">
        <v>0</v>
      </c>
      <c r="AU104" s="404">
        <v>596946</v>
      </c>
      <c r="AV104" s="404">
        <v>8575</v>
      </c>
      <c r="AW104" s="404">
        <v>285634</v>
      </c>
      <c r="AX104" s="404">
        <v>8309149</v>
      </c>
      <c r="AY104" s="404">
        <v>518294</v>
      </c>
      <c r="AZ104" s="404">
        <v>69395731</v>
      </c>
      <c r="BA104" s="404">
        <v>143621</v>
      </c>
      <c r="BB104" s="404">
        <v>3232522</v>
      </c>
      <c r="BC104" s="404">
        <v>0</v>
      </c>
      <c r="BD104" s="404">
        <v>156825</v>
      </c>
      <c r="BE104" s="404">
        <v>260846</v>
      </c>
      <c r="BF104" s="404">
        <v>17521</v>
      </c>
      <c r="BG104" s="404">
        <v>360304</v>
      </c>
      <c r="BH104" s="404">
        <v>926860</v>
      </c>
      <c r="BI104" s="404">
        <v>11260085</v>
      </c>
      <c r="BJ104" s="404">
        <v>43996</v>
      </c>
      <c r="BK104" s="404">
        <v>0</v>
      </c>
      <c r="BL104" s="404">
        <v>7370480</v>
      </c>
      <c r="BM104" s="404">
        <v>16230220</v>
      </c>
      <c r="BN104" s="404">
        <v>4696931</v>
      </c>
      <c r="BO104" s="404">
        <v>2596</v>
      </c>
      <c r="BP104" s="404">
        <v>220726</v>
      </c>
      <c r="BQ104" s="404">
        <v>863485</v>
      </c>
      <c r="BR104" s="404">
        <v>12254362</v>
      </c>
      <c r="BS104" s="404">
        <v>146751</v>
      </c>
      <c r="BT104" s="404">
        <v>62402</v>
      </c>
      <c r="BU104" s="404">
        <v>738840</v>
      </c>
      <c r="BV104" s="404">
        <v>3965963</v>
      </c>
      <c r="BW104" s="404">
        <v>0</v>
      </c>
      <c r="BX104" s="404">
        <v>727243</v>
      </c>
      <c r="BY104" s="404">
        <v>7872951</v>
      </c>
      <c r="BZ104" s="404">
        <v>7458</v>
      </c>
      <c r="CA104" s="404">
        <v>0</v>
      </c>
      <c r="CB104" s="404">
        <v>12255587</v>
      </c>
      <c r="CC104" s="404">
        <v>333719369</v>
      </c>
      <c r="CD104" s="404">
        <v>74040634</v>
      </c>
      <c r="CE104" s="404">
        <v>546020</v>
      </c>
      <c r="CF104" s="404">
        <v>2706096</v>
      </c>
      <c r="CG104" s="404">
        <v>316666</v>
      </c>
      <c r="CH104" s="404">
        <v>2672483</v>
      </c>
      <c r="CI104" s="404">
        <v>476464487</v>
      </c>
      <c r="CJ104" s="404">
        <v>10581796</v>
      </c>
      <c r="CK104" s="404">
        <v>482226</v>
      </c>
      <c r="CL104" s="404">
        <v>4244128</v>
      </c>
      <c r="CM104" s="404">
        <v>203163</v>
      </c>
      <c r="CN104" s="404">
        <v>10613487</v>
      </c>
      <c r="CO104" s="404">
        <v>1348117</v>
      </c>
      <c r="CP104" s="404">
        <v>638178</v>
      </c>
      <c r="CQ104" s="404">
        <v>1720121</v>
      </c>
      <c r="CR104" s="404">
        <v>12864978</v>
      </c>
    </row>
    <row r="105" spans="1:96" s="404" customFormat="1" x14ac:dyDescent="0.3">
      <c r="A105" s="404">
        <v>339</v>
      </c>
      <c r="B105" s="405">
        <v>339</v>
      </c>
      <c r="C105" s="404">
        <v>339</v>
      </c>
      <c r="D105" s="404" t="s">
        <v>190</v>
      </c>
      <c r="E105" s="404" t="s">
        <v>421</v>
      </c>
      <c r="F105" s="404">
        <v>600</v>
      </c>
      <c r="G105" s="404">
        <v>319452</v>
      </c>
      <c r="H105" s="404">
        <v>10272</v>
      </c>
      <c r="I105" s="404">
        <v>343321</v>
      </c>
      <c r="J105" s="404">
        <v>113709</v>
      </c>
      <c r="K105" s="404">
        <v>36975</v>
      </c>
      <c r="L105" s="404">
        <v>3095885</v>
      </c>
      <c r="M105" s="404">
        <v>0</v>
      </c>
      <c r="N105" s="404">
        <v>43839</v>
      </c>
      <c r="O105" s="404">
        <v>20993</v>
      </c>
      <c r="P105" s="404">
        <v>126765</v>
      </c>
      <c r="Q105" s="404">
        <v>0</v>
      </c>
      <c r="R105" s="404">
        <v>37788</v>
      </c>
      <c r="S105" s="404">
        <v>17423</v>
      </c>
      <c r="T105" s="404">
        <v>39501</v>
      </c>
      <c r="U105" s="404">
        <v>2884149</v>
      </c>
      <c r="V105" s="404">
        <v>1634080</v>
      </c>
      <c r="W105" s="404">
        <v>410080</v>
      </c>
      <c r="X105" s="404">
        <v>0</v>
      </c>
      <c r="Y105" s="404">
        <v>32306</v>
      </c>
      <c r="Z105" s="404">
        <v>62255</v>
      </c>
      <c r="AA105" s="404">
        <v>2600</v>
      </c>
      <c r="AB105" s="404">
        <v>250311</v>
      </c>
      <c r="AC105" s="404">
        <v>374505</v>
      </c>
      <c r="AD105" s="404">
        <v>62952</v>
      </c>
      <c r="AE105" s="404">
        <v>76299</v>
      </c>
      <c r="AF105" s="404">
        <v>1766372</v>
      </c>
      <c r="AG105" s="404">
        <v>14310</v>
      </c>
      <c r="AH105" s="404">
        <v>599802</v>
      </c>
      <c r="AI105" s="404">
        <v>13190</v>
      </c>
      <c r="AJ105" s="404">
        <v>0</v>
      </c>
      <c r="AK105" s="404">
        <v>484384</v>
      </c>
      <c r="AL105" s="404">
        <v>549530</v>
      </c>
      <c r="AM105" s="404">
        <v>266779</v>
      </c>
      <c r="AN105" s="404">
        <v>83872</v>
      </c>
      <c r="AO105" s="404">
        <v>24784</v>
      </c>
      <c r="AP105" s="404">
        <v>12502</v>
      </c>
      <c r="AQ105" s="404">
        <v>647250</v>
      </c>
      <c r="AR105" s="404">
        <v>0</v>
      </c>
      <c r="AS105" s="404">
        <v>31396</v>
      </c>
      <c r="AT105" s="404">
        <v>0</v>
      </c>
      <c r="AU105" s="404">
        <v>79850</v>
      </c>
      <c r="AV105" s="404">
        <v>0</v>
      </c>
      <c r="AW105" s="404">
        <v>0</v>
      </c>
      <c r="AX105" s="404">
        <v>379285</v>
      </c>
      <c r="AY105" s="404">
        <v>58600</v>
      </c>
      <c r="AZ105" s="404">
        <v>5699476</v>
      </c>
      <c r="BA105" s="404">
        <v>0</v>
      </c>
      <c r="BB105" s="404">
        <v>2080081</v>
      </c>
      <c r="BC105" s="404">
        <v>0</v>
      </c>
      <c r="BD105" s="404">
        <v>99065</v>
      </c>
      <c r="BE105" s="404">
        <v>15298</v>
      </c>
      <c r="BF105" s="404">
        <v>31407</v>
      </c>
      <c r="BG105" s="404">
        <v>153963</v>
      </c>
      <c r="BH105" s="404">
        <v>647346</v>
      </c>
      <c r="BI105" s="404">
        <v>1849504</v>
      </c>
      <c r="BJ105" s="404">
        <v>495</v>
      </c>
      <c r="BK105" s="404">
        <v>1125</v>
      </c>
      <c r="BL105" s="404">
        <v>1490772</v>
      </c>
      <c r="BM105" s="404">
        <v>2227460</v>
      </c>
      <c r="BN105" s="404">
        <v>19543</v>
      </c>
      <c r="BO105" s="404">
        <v>8950</v>
      </c>
      <c r="BP105" s="404">
        <v>67398</v>
      </c>
      <c r="BQ105" s="404">
        <v>309546</v>
      </c>
      <c r="BR105" s="404">
        <v>1294595</v>
      </c>
      <c r="BS105" s="404">
        <v>0</v>
      </c>
      <c r="BT105" s="404">
        <v>41850</v>
      </c>
      <c r="BU105" s="404">
        <v>24537</v>
      </c>
      <c r="BV105" s="404">
        <v>39530</v>
      </c>
      <c r="BW105" s="404">
        <v>0</v>
      </c>
      <c r="BX105" s="404">
        <v>517803</v>
      </c>
      <c r="BY105" s="404">
        <v>114047</v>
      </c>
      <c r="BZ105" s="404">
        <v>0</v>
      </c>
      <c r="CA105" s="404">
        <v>0</v>
      </c>
      <c r="CB105" s="404">
        <v>658331</v>
      </c>
      <c r="CC105" s="404">
        <v>9434553</v>
      </c>
      <c r="CD105" s="404">
        <v>7679555</v>
      </c>
      <c r="CE105" s="404">
        <v>108529</v>
      </c>
      <c r="CF105" s="404">
        <v>537242</v>
      </c>
      <c r="CG105" s="404">
        <v>38677</v>
      </c>
      <c r="CH105" s="404">
        <v>476782</v>
      </c>
      <c r="CI105" s="404">
        <v>34571448</v>
      </c>
      <c r="CJ105" s="404">
        <v>965046</v>
      </c>
      <c r="CK105" s="404">
        <v>56987</v>
      </c>
      <c r="CL105" s="404">
        <v>85395</v>
      </c>
      <c r="CM105" s="404">
        <v>23496</v>
      </c>
      <c r="CN105" s="404">
        <v>5152729</v>
      </c>
      <c r="CO105" s="404">
        <v>1934</v>
      </c>
      <c r="CP105" s="404">
        <v>65546</v>
      </c>
      <c r="CQ105" s="404">
        <v>477671</v>
      </c>
      <c r="CR105" s="404">
        <v>1073041</v>
      </c>
    </row>
    <row r="106" spans="1:96" s="404" customFormat="1" x14ac:dyDescent="0.3">
      <c r="A106" s="404">
        <v>340</v>
      </c>
      <c r="B106" s="405"/>
      <c r="C106" s="404">
        <v>340</v>
      </c>
      <c r="D106" s="404" t="s">
        <v>637</v>
      </c>
      <c r="E106" s="404" t="s">
        <v>422</v>
      </c>
    </row>
    <row r="107" spans="1:96" s="404" customFormat="1" x14ac:dyDescent="0.3">
      <c r="A107" s="404">
        <v>341</v>
      </c>
      <c r="B107" s="405">
        <v>341</v>
      </c>
      <c r="C107" s="404">
        <v>341</v>
      </c>
      <c r="D107" s="404" t="s">
        <v>193</v>
      </c>
      <c r="E107" s="404" t="s">
        <v>423</v>
      </c>
      <c r="F107" s="404">
        <v>146176</v>
      </c>
      <c r="G107" s="404">
        <v>6558793</v>
      </c>
      <c r="H107" s="404">
        <v>988770</v>
      </c>
      <c r="I107" s="404">
        <v>3073706</v>
      </c>
      <c r="J107" s="404">
        <v>377435</v>
      </c>
      <c r="K107" s="404">
        <v>615411</v>
      </c>
      <c r="L107" s="404">
        <v>29519372</v>
      </c>
      <c r="M107" s="404">
        <v>662828</v>
      </c>
      <c r="N107" s="404">
        <v>526799</v>
      </c>
      <c r="O107" s="404">
        <v>401791</v>
      </c>
      <c r="P107" s="404">
        <v>1017018</v>
      </c>
      <c r="Q107" s="404">
        <v>58594</v>
      </c>
      <c r="R107" s="404">
        <v>208178</v>
      </c>
      <c r="S107" s="404">
        <v>1738880</v>
      </c>
      <c r="T107" s="404">
        <v>1374723</v>
      </c>
      <c r="U107" s="404">
        <v>5736090</v>
      </c>
      <c r="V107" s="404">
        <v>11373077</v>
      </c>
      <c r="W107" s="404">
        <v>3491721</v>
      </c>
      <c r="X107" s="404">
        <v>551474</v>
      </c>
      <c r="Y107" s="404">
        <v>3482051</v>
      </c>
      <c r="Z107" s="404">
        <v>2774937</v>
      </c>
      <c r="AA107" s="404">
        <v>47250</v>
      </c>
      <c r="AB107" s="404">
        <v>8365813</v>
      </c>
      <c r="AC107" s="404">
        <v>1704201</v>
      </c>
      <c r="AD107" s="404">
        <v>893974</v>
      </c>
      <c r="AE107" s="404">
        <v>245832</v>
      </c>
      <c r="AF107" s="404">
        <v>23265172</v>
      </c>
      <c r="AG107" s="404">
        <v>570932</v>
      </c>
      <c r="AH107" s="404">
        <v>4096087</v>
      </c>
      <c r="AI107" s="404">
        <v>1682676</v>
      </c>
      <c r="AJ107" s="404">
        <v>122136</v>
      </c>
      <c r="AK107" s="404">
        <v>2663124</v>
      </c>
      <c r="AL107" s="404">
        <v>4023524</v>
      </c>
      <c r="AM107" s="404">
        <v>2424248</v>
      </c>
      <c r="AN107" s="404">
        <v>2389523</v>
      </c>
      <c r="AO107" s="404">
        <v>120410</v>
      </c>
      <c r="AP107" s="404">
        <v>473502</v>
      </c>
      <c r="AQ107" s="404">
        <v>4186941</v>
      </c>
      <c r="AR107" s="404">
        <v>0</v>
      </c>
      <c r="AS107" s="404">
        <v>119392</v>
      </c>
      <c r="AT107" s="404">
        <v>267223</v>
      </c>
      <c r="AU107" s="404">
        <v>808411</v>
      </c>
      <c r="AV107" s="404">
        <v>59336</v>
      </c>
      <c r="AW107" s="404">
        <v>277902</v>
      </c>
      <c r="AX107" s="404">
        <v>4135663</v>
      </c>
      <c r="AY107" s="404">
        <v>322820</v>
      </c>
      <c r="AZ107" s="404">
        <v>42646992</v>
      </c>
      <c r="BA107" s="404">
        <v>1750528</v>
      </c>
      <c r="BB107" s="404">
        <v>3171841</v>
      </c>
      <c r="BC107" s="404">
        <v>1050792</v>
      </c>
      <c r="BD107" s="404">
        <v>889596</v>
      </c>
      <c r="BE107" s="404">
        <v>1237192</v>
      </c>
      <c r="BF107" s="404">
        <v>219502</v>
      </c>
      <c r="BG107" s="404">
        <v>889474</v>
      </c>
      <c r="BH107" s="404">
        <v>2423803</v>
      </c>
      <c r="BI107" s="404">
        <v>9957125</v>
      </c>
      <c r="BJ107" s="404">
        <v>314654</v>
      </c>
      <c r="BK107" s="404">
        <v>95886</v>
      </c>
      <c r="BL107" s="404">
        <v>15262023</v>
      </c>
      <c r="BM107" s="404">
        <v>10692345</v>
      </c>
      <c r="BN107" s="404">
        <v>7278764</v>
      </c>
      <c r="BO107" s="404">
        <v>72661</v>
      </c>
      <c r="BP107" s="404">
        <v>2223104</v>
      </c>
      <c r="BQ107" s="404">
        <v>1258278</v>
      </c>
      <c r="BR107" s="404">
        <v>6102962</v>
      </c>
      <c r="BS107" s="404">
        <v>847771</v>
      </c>
      <c r="BT107" s="404">
        <v>1063209</v>
      </c>
      <c r="BU107" s="404">
        <v>2601760</v>
      </c>
      <c r="BV107" s="404">
        <v>3773555</v>
      </c>
      <c r="BW107" s="404">
        <v>0</v>
      </c>
      <c r="BX107" s="404">
        <v>1257363</v>
      </c>
      <c r="BY107" s="404">
        <v>4630071</v>
      </c>
      <c r="BZ107" s="404">
        <v>167591</v>
      </c>
      <c r="CA107" s="404">
        <v>0</v>
      </c>
      <c r="CB107" s="404">
        <v>4877706</v>
      </c>
      <c r="CC107" s="404">
        <v>128259725</v>
      </c>
      <c r="CD107" s="404">
        <v>44812374</v>
      </c>
      <c r="CE107" s="404">
        <v>1196181</v>
      </c>
      <c r="CF107" s="404">
        <v>1270324</v>
      </c>
      <c r="CG107" s="404">
        <v>533183</v>
      </c>
      <c r="CH107" s="404">
        <v>1014956</v>
      </c>
      <c r="CI107" s="404">
        <v>209274060</v>
      </c>
      <c r="CJ107" s="404">
        <v>7090669</v>
      </c>
      <c r="CK107" s="404">
        <v>495140</v>
      </c>
      <c r="CL107" s="404">
        <v>4491248</v>
      </c>
      <c r="CM107" s="404">
        <v>481246</v>
      </c>
      <c r="CN107" s="404">
        <v>7062223</v>
      </c>
      <c r="CO107" s="404">
        <v>2798718</v>
      </c>
      <c r="CP107" s="404">
        <v>700653</v>
      </c>
      <c r="CQ107" s="404">
        <v>2557770</v>
      </c>
      <c r="CR107" s="404">
        <v>9421053</v>
      </c>
    </row>
    <row r="108" spans="1:96" s="404" customFormat="1" x14ac:dyDescent="0.3">
      <c r="A108" s="404">
        <v>342</v>
      </c>
      <c r="B108" s="405"/>
      <c r="C108" s="404">
        <v>342</v>
      </c>
      <c r="D108" s="404" t="s">
        <v>638</v>
      </c>
      <c r="E108" s="404" t="s">
        <v>424</v>
      </c>
    </row>
    <row r="109" spans="1:96" s="404" customFormat="1" x14ac:dyDescent="0.3">
      <c r="A109" s="404">
        <v>343</v>
      </c>
      <c r="B109" s="405">
        <v>343</v>
      </c>
      <c r="C109" s="404">
        <v>343</v>
      </c>
      <c r="D109" s="404" t="s">
        <v>255</v>
      </c>
      <c r="E109" s="404" t="s">
        <v>425</v>
      </c>
      <c r="F109" s="404">
        <v>0</v>
      </c>
      <c r="G109" s="404">
        <v>291800</v>
      </c>
      <c r="H109" s="404">
        <v>0</v>
      </c>
      <c r="I109" s="404">
        <v>260400</v>
      </c>
      <c r="J109" s="404">
        <v>0</v>
      </c>
      <c r="K109" s="404">
        <v>5571</v>
      </c>
      <c r="L109" s="404">
        <v>894700</v>
      </c>
      <c r="M109" s="404">
        <v>24844</v>
      </c>
      <c r="N109" s="404">
        <v>0</v>
      </c>
      <c r="O109" s="404">
        <v>0</v>
      </c>
      <c r="P109" s="404">
        <v>45161</v>
      </c>
      <c r="Q109" s="404">
        <v>0</v>
      </c>
      <c r="R109" s="404">
        <v>0</v>
      </c>
      <c r="S109" s="404">
        <v>211929</v>
      </c>
      <c r="T109" s="404">
        <v>0</v>
      </c>
      <c r="U109" s="404">
        <v>41200</v>
      </c>
      <c r="V109" s="404">
        <v>612212</v>
      </c>
      <c r="W109" s="404">
        <v>221000</v>
      </c>
      <c r="X109" s="404">
        <v>0</v>
      </c>
      <c r="Y109" s="404">
        <v>243803</v>
      </c>
      <c r="Z109" s="404">
        <v>63946</v>
      </c>
      <c r="AA109" s="404">
        <v>0</v>
      </c>
      <c r="AB109" s="404">
        <v>0</v>
      </c>
      <c r="AC109" s="404">
        <v>29206</v>
      </c>
      <c r="AD109" s="404">
        <v>0</v>
      </c>
      <c r="AE109" s="404">
        <v>0</v>
      </c>
      <c r="AF109" s="404">
        <v>1255021</v>
      </c>
      <c r="AG109" s="404">
        <v>0</v>
      </c>
      <c r="AH109" s="404">
        <v>163736</v>
      </c>
      <c r="AI109" s="404">
        <v>0</v>
      </c>
      <c r="AJ109" s="404">
        <v>0</v>
      </c>
      <c r="AK109" s="404">
        <v>0</v>
      </c>
      <c r="AL109" s="404">
        <v>393635</v>
      </c>
      <c r="AM109" s="404">
        <v>97436</v>
      </c>
      <c r="AN109" s="404">
        <v>99228</v>
      </c>
      <c r="AO109" s="404">
        <v>0</v>
      </c>
      <c r="AP109" s="404">
        <v>0</v>
      </c>
      <c r="AQ109" s="404">
        <v>256406</v>
      </c>
      <c r="AR109" s="404">
        <v>0</v>
      </c>
      <c r="AS109" s="404">
        <v>3621</v>
      </c>
      <c r="AT109" s="404">
        <v>0</v>
      </c>
      <c r="AU109" s="404">
        <v>17380</v>
      </c>
      <c r="AV109" s="404">
        <v>0</v>
      </c>
      <c r="AW109" s="404">
        <v>10000</v>
      </c>
      <c r="AX109" s="404">
        <v>117983</v>
      </c>
      <c r="AY109" s="404">
        <v>8719</v>
      </c>
      <c r="AZ109" s="404">
        <v>5462175</v>
      </c>
      <c r="BA109" s="404">
        <v>0</v>
      </c>
      <c r="BB109" s="404">
        <v>227132</v>
      </c>
      <c r="BC109" s="404">
        <v>0</v>
      </c>
      <c r="BD109" s="404">
        <v>27558</v>
      </c>
      <c r="BE109" s="404">
        <v>0</v>
      </c>
      <c r="BF109" s="404">
        <v>0</v>
      </c>
      <c r="BG109" s="404">
        <v>33640</v>
      </c>
      <c r="BH109" s="404">
        <v>81686</v>
      </c>
      <c r="BI109" s="404">
        <v>137516</v>
      </c>
      <c r="BJ109" s="404">
        <v>0</v>
      </c>
      <c r="BK109" s="404">
        <v>0</v>
      </c>
      <c r="BL109" s="404">
        <v>413801</v>
      </c>
      <c r="BM109" s="404">
        <v>534870</v>
      </c>
      <c r="BN109" s="404">
        <v>283404</v>
      </c>
      <c r="BO109" s="404">
        <v>0</v>
      </c>
      <c r="BP109" s="404">
        <v>0</v>
      </c>
      <c r="BQ109" s="404">
        <v>0</v>
      </c>
      <c r="BR109" s="404">
        <v>387775</v>
      </c>
      <c r="BS109" s="404">
        <v>0</v>
      </c>
      <c r="BT109" s="404">
        <v>0</v>
      </c>
      <c r="BU109" s="404">
        <v>75285</v>
      </c>
      <c r="BV109" s="404">
        <v>309945</v>
      </c>
      <c r="BW109" s="404">
        <v>0</v>
      </c>
      <c r="BX109" s="404">
        <v>44637</v>
      </c>
      <c r="BY109" s="404">
        <v>414758</v>
      </c>
      <c r="BZ109" s="404">
        <v>0</v>
      </c>
      <c r="CA109" s="404">
        <v>0</v>
      </c>
      <c r="CB109" s="404">
        <v>242679</v>
      </c>
      <c r="CC109" s="404">
        <v>10755674</v>
      </c>
      <c r="CD109" s="404">
        <v>325011</v>
      </c>
      <c r="CE109" s="404">
        <v>17316</v>
      </c>
      <c r="CF109" s="404">
        <v>0</v>
      </c>
      <c r="CG109" s="404">
        <v>24700</v>
      </c>
      <c r="CH109" s="404">
        <v>45538</v>
      </c>
      <c r="CI109" s="404">
        <v>43151928</v>
      </c>
      <c r="CJ109" s="404">
        <v>610665</v>
      </c>
      <c r="CK109" s="404">
        <v>58452</v>
      </c>
      <c r="CL109" s="404">
        <v>263537</v>
      </c>
      <c r="CM109" s="404">
        <v>20127</v>
      </c>
      <c r="CN109" s="404">
        <v>428569</v>
      </c>
      <c r="CO109" s="404">
        <v>46666</v>
      </c>
      <c r="CP109" s="404">
        <v>98493</v>
      </c>
      <c r="CQ109" s="404">
        <v>0</v>
      </c>
      <c r="CR109" s="404">
        <v>449732</v>
      </c>
    </row>
    <row r="110" spans="1:96" s="404" customFormat="1" x14ac:dyDescent="0.3">
      <c r="A110" s="404">
        <v>344</v>
      </c>
      <c r="B110" s="405">
        <v>344</v>
      </c>
      <c r="C110" s="404">
        <v>344</v>
      </c>
      <c r="D110" s="404" t="s">
        <v>188</v>
      </c>
      <c r="E110" s="404" t="s">
        <v>426</v>
      </c>
      <c r="F110" s="404">
        <v>0</v>
      </c>
      <c r="G110" s="404">
        <v>97315</v>
      </c>
      <c r="H110" s="404">
        <v>0</v>
      </c>
      <c r="I110" s="404">
        <v>26219</v>
      </c>
      <c r="J110" s="404">
        <v>0</v>
      </c>
      <c r="K110" s="404">
        <v>2793</v>
      </c>
      <c r="L110" s="404">
        <v>82483</v>
      </c>
      <c r="M110" s="404">
        <v>1448</v>
      </c>
      <c r="N110" s="404">
        <v>0</v>
      </c>
      <c r="O110" s="404">
        <v>0</v>
      </c>
      <c r="P110" s="404">
        <v>9522</v>
      </c>
      <c r="Q110" s="404">
        <v>0</v>
      </c>
      <c r="R110" s="404">
        <v>0</v>
      </c>
      <c r="S110" s="404">
        <v>36331</v>
      </c>
      <c r="T110" s="404">
        <v>0</v>
      </c>
      <c r="U110" s="404">
        <v>10246</v>
      </c>
      <c r="V110" s="404">
        <v>97249</v>
      </c>
      <c r="W110" s="404">
        <v>41269</v>
      </c>
      <c r="X110" s="404">
        <v>0</v>
      </c>
      <c r="Y110" s="404">
        <v>21130</v>
      </c>
      <c r="Z110" s="404">
        <v>6892</v>
      </c>
      <c r="AA110" s="404">
        <v>0</v>
      </c>
      <c r="AB110" s="404">
        <v>0</v>
      </c>
      <c r="AC110" s="404">
        <v>95</v>
      </c>
      <c r="AD110" s="404">
        <v>0</v>
      </c>
      <c r="AE110" s="404">
        <v>0</v>
      </c>
      <c r="AF110" s="404">
        <v>545658</v>
      </c>
      <c r="AG110" s="404">
        <v>890</v>
      </c>
      <c r="AH110" s="404">
        <v>5948</v>
      </c>
      <c r="AI110" s="404">
        <v>0</v>
      </c>
      <c r="AJ110" s="404">
        <v>0</v>
      </c>
      <c r="AK110" s="404">
        <v>0</v>
      </c>
      <c r="AL110" s="404">
        <v>51829</v>
      </c>
      <c r="AM110" s="404">
        <v>45598</v>
      </c>
      <c r="AN110" s="404">
        <v>6362</v>
      </c>
      <c r="AO110" s="404">
        <v>0</v>
      </c>
      <c r="AP110" s="404">
        <v>0</v>
      </c>
      <c r="AQ110" s="404">
        <v>107221</v>
      </c>
      <c r="AR110" s="404">
        <v>0</v>
      </c>
      <c r="AS110" s="404">
        <v>2596</v>
      </c>
      <c r="AT110" s="404">
        <v>0</v>
      </c>
      <c r="AU110" s="404">
        <v>17852</v>
      </c>
      <c r="AV110" s="404">
        <v>0</v>
      </c>
      <c r="AW110" s="404">
        <v>2121</v>
      </c>
      <c r="AX110" s="404">
        <v>28847</v>
      </c>
      <c r="AY110" s="404">
        <v>18303</v>
      </c>
      <c r="AZ110" s="404">
        <v>1217268</v>
      </c>
      <c r="BA110" s="404">
        <v>0</v>
      </c>
      <c r="BB110" s="404">
        <v>27349</v>
      </c>
      <c r="BC110" s="404">
        <v>0</v>
      </c>
      <c r="BD110" s="404">
        <v>3571</v>
      </c>
      <c r="BE110" s="404">
        <v>0</v>
      </c>
      <c r="BF110" s="404">
        <v>0</v>
      </c>
      <c r="BG110" s="404">
        <v>3260</v>
      </c>
      <c r="BH110" s="404">
        <v>8680</v>
      </c>
      <c r="BI110" s="404">
        <v>32865</v>
      </c>
      <c r="BJ110" s="404">
        <v>0</v>
      </c>
      <c r="BK110" s="404">
        <v>0</v>
      </c>
      <c r="BL110" s="404">
        <v>110359</v>
      </c>
      <c r="BM110" s="404">
        <v>146112</v>
      </c>
      <c r="BN110" s="404">
        <v>14159</v>
      </c>
      <c r="BO110" s="404">
        <v>0</v>
      </c>
      <c r="BP110" s="404">
        <v>0</v>
      </c>
      <c r="BQ110" s="404">
        <v>0</v>
      </c>
      <c r="BR110" s="404">
        <v>4906</v>
      </c>
      <c r="BS110" s="404">
        <v>0</v>
      </c>
      <c r="BT110" s="404">
        <v>0</v>
      </c>
      <c r="BU110" s="404">
        <v>6499</v>
      </c>
      <c r="BV110" s="404">
        <v>89415</v>
      </c>
      <c r="BW110" s="404">
        <v>0</v>
      </c>
      <c r="BX110" s="404">
        <v>4083</v>
      </c>
      <c r="BY110" s="404">
        <v>87957</v>
      </c>
      <c r="BZ110" s="404">
        <v>0</v>
      </c>
      <c r="CA110" s="404">
        <v>0</v>
      </c>
      <c r="CB110" s="404">
        <v>60713</v>
      </c>
      <c r="CC110" s="404">
        <v>6970781</v>
      </c>
      <c r="CD110" s="404">
        <v>27475</v>
      </c>
      <c r="CE110" s="404">
        <v>4019</v>
      </c>
      <c r="CF110" s="404">
        <v>0</v>
      </c>
      <c r="CG110" s="404">
        <v>12976</v>
      </c>
      <c r="CH110" s="404">
        <v>52085</v>
      </c>
      <c r="CI110" s="404">
        <v>11425747</v>
      </c>
      <c r="CJ110" s="404">
        <v>91181</v>
      </c>
      <c r="CK110" s="404">
        <v>12705</v>
      </c>
      <c r="CL110" s="404">
        <v>7992</v>
      </c>
      <c r="CM110" s="404">
        <v>6082</v>
      </c>
      <c r="CN110" s="404">
        <v>43535</v>
      </c>
      <c r="CO110" s="404">
        <v>7620</v>
      </c>
      <c r="CP110" s="404">
        <v>0</v>
      </c>
      <c r="CQ110" s="404">
        <v>7725</v>
      </c>
      <c r="CR110" s="404">
        <v>126287</v>
      </c>
    </row>
    <row r="111" spans="1:96" s="404" customFormat="1" x14ac:dyDescent="0.3">
      <c r="A111" s="404">
        <v>346</v>
      </c>
      <c r="B111" s="405"/>
      <c r="C111" s="404">
        <v>346</v>
      </c>
      <c r="D111" s="404" t="s">
        <v>639</v>
      </c>
      <c r="E111" s="404" t="s">
        <v>427</v>
      </c>
    </row>
    <row r="112" spans="1:96" s="404" customFormat="1" x14ac:dyDescent="0.3">
      <c r="A112" s="404">
        <v>347</v>
      </c>
      <c r="B112" s="405"/>
      <c r="C112" s="404">
        <v>347</v>
      </c>
      <c r="D112" s="404" t="s">
        <v>640</v>
      </c>
      <c r="E112" s="404" t="s">
        <v>428</v>
      </c>
    </row>
    <row r="113" spans="1:96" s="404" customFormat="1" x14ac:dyDescent="0.3">
      <c r="A113" s="404">
        <v>349</v>
      </c>
      <c r="B113" s="405">
        <v>349</v>
      </c>
      <c r="C113" s="404">
        <v>349</v>
      </c>
      <c r="D113" s="404" t="s">
        <v>122</v>
      </c>
      <c r="E113" s="404" t="s">
        <v>429</v>
      </c>
      <c r="F113" s="404">
        <v>0</v>
      </c>
      <c r="G113" s="404">
        <v>0</v>
      </c>
      <c r="H113" s="404">
        <v>67593</v>
      </c>
      <c r="I113" s="404">
        <v>5736043</v>
      </c>
      <c r="J113" s="404">
        <v>2582932</v>
      </c>
      <c r="K113" s="404">
        <v>143892</v>
      </c>
      <c r="L113" s="404">
        <v>26100437</v>
      </c>
      <c r="M113" s="404">
        <v>825040</v>
      </c>
      <c r="N113" s="404">
        <v>0</v>
      </c>
      <c r="O113" s="404">
        <v>54328</v>
      </c>
      <c r="P113" s="404">
        <v>1196315</v>
      </c>
      <c r="Q113" s="404">
        <v>0</v>
      </c>
      <c r="R113" s="404">
        <v>579658</v>
      </c>
      <c r="S113" s="404">
        <v>0</v>
      </c>
      <c r="T113" s="404">
        <v>0</v>
      </c>
      <c r="U113" s="404">
        <v>0</v>
      </c>
      <c r="V113" s="404">
        <v>14265361</v>
      </c>
      <c r="W113" s="404">
        <v>0</v>
      </c>
      <c r="X113" s="404">
        <v>128484</v>
      </c>
      <c r="Y113" s="404">
        <v>0</v>
      </c>
      <c r="Z113" s="404">
        <v>1884821</v>
      </c>
      <c r="AA113" s="404">
        <v>0</v>
      </c>
      <c r="AB113" s="404">
        <v>4646264</v>
      </c>
      <c r="AC113" s="404">
        <v>4728539</v>
      </c>
      <c r="AD113" s="404">
        <v>459078</v>
      </c>
      <c r="AE113" s="404">
        <v>379772</v>
      </c>
      <c r="AF113" s="404">
        <v>37919686</v>
      </c>
      <c r="AG113" s="404">
        <v>0</v>
      </c>
      <c r="AH113" s="404">
        <v>3175978</v>
      </c>
      <c r="AI113" s="404">
        <v>0</v>
      </c>
      <c r="AJ113" s="404">
        <v>22265</v>
      </c>
      <c r="AK113" s="404">
        <v>14160306</v>
      </c>
      <c r="AL113" s="404">
        <v>2145797</v>
      </c>
      <c r="AM113" s="404">
        <v>1639437</v>
      </c>
      <c r="AN113" s="404">
        <v>3145104</v>
      </c>
      <c r="AO113" s="404">
        <v>20253</v>
      </c>
      <c r="AP113" s="404">
        <v>0</v>
      </c>
      <c r="AQ113" s="404">
        <v>4597135</v>
      </c>
      <c r="AR113" s="404">
        <v>0</v>
      </c>
      <c r="AS113" s="404">
        <v>0</v>
      </c>
      <c r="AT113" s="404">
        <v>0</v>
      </c>
      <c r="AU113" s="404">
        <v>0</v>
      </c>
      <c r="AV113" s="404">
        <v>0</v>
      </c>
      <c r="AW113" s="404">
        <v>153442</v>
      </c>
      <c r="AX113" s="404">
        <v>1847164</v>
      </c>
      <c r="AY113" s="404">
        <v>43668</v>
      </c>
      <c r="AZ113" s="404">
        <v>0</v>
      </c>
      <c r="BA113" s="404">
        <v>247824</v>
      </c>
      <c r="BB113" s="404">
        <v>5385005</v>
      </c>
      <c r="BC113" s="404">
        <v>0</v>
      </c>
      <c r="BD113" s="404">
        <v>687857</v>
      </c>
      <c r="BE113" s="404">
        <v>440062</v>
      </c>
      <c r="BF113" s="404">
        <v>132108</v>
      </c>
      <c r="BG113" s="404">
        <v>3345796</v>
      </c>
      <c r="BH113" s="404">
        <v>2318519</v>
      </c>
      <c r="BI113" s="404">
        <v>3504097</v>
      </c>
      <c r="BJ113" s="404">
        <v>0</v>
      </c>
      <c r="BK113" s="404">
        <v>0</v>
      </c>
      <c r="BL113" s="404">
        <v>0</v>
      </c>
      <c r="BM113" s="404">
        <v>3050649</v>
      </c>
      <c r="BN113" s="404">
        <v>5747468</v>
      </c>
      <c r="BO113" s="404">
        <v>0</v>
      </c>
      <c r="BP113" s="404">
        <v>0</v>
      </c>
      <c r="BQ113" s="404">
        <v>411786</v>
      </c>
      <c r="BR113" s="404">
        <v>0</v>
      </c>
      <c r="BS113" s="404">
        <v>0</v>
      </c>
      <c r="BT113" s="404">
        <v>0</v>
      </c>
      <c r="BU113" s="404">
        <v>1062411</v>
      </c>
      <c r="BV113" s="404">
        <v>0</v>
      </c>
      <c r="BW113" s="404">
        <v>0</v>
      </c>
      <c r="BX113" s="404">
        <v>679903</v>
      </c>
      <c r="BY113" s="404">
        <v>3021774</v>
      </c>
      <c r="BZ113" s="404">
        <v>2415</v>
      </c>
      <c r="CA113" s="404">
        <v>0</v>
      </c>
      <c r="CB113" s="404">
        <v>8637738</v>
      </c>
      <c r="CC113" s="404">
        <v>0</v>
      </c>
      <c r="CD113" s="404">
        <v>27352611</v>
      </c>
      <c r="CE113" s="404">
        <v>3003520</v>
      </c>
      <c r="CF113" s="404">
        <v>1682974</v>
      </c>
      <c r="CG113" s="404">
        <v>637264</v>
      </c>
      <c r="CH113" s="404">
        <v>3989459</v>
      </c>
      <c r="CI113" s="404">
        <v>547787061</v>
      </c>
      <c r="CJ113" s="404">
        <v>5283354</v>
      </c>
      <c r="CK113" s="404">
        <v>458081</v>
      </c>
      <c r="CL113" s="404">
        <v>0</v>
      </c>
      <c r="CM113" s="404">
        <v>500491</v>
      </c>
      <c r="CN113" s="404">
        <v>593815</v>
      </c>
      <c r="CO113" s="404">
        <v>476416</v>
      </c>
      <c r="CP113" s="404">
        <v>2769691</v>
      </c>
      <c r="CQ113" s="404">
        <v>0</v>
      </c>
      <c r="CR113" s="404">
        <v>0</v>
      </c>
    </row>
    <row r="114" spans="1:96" s="404" customFormat="1" x14ac:dyDescent="0.3">
      <c r="A114" s="404">
        <v>350</v>
      </c>
      <c r="B114" s="405">
        <v>350</v>
      </c>
      <c r="C114" s="404">
        <v>350</v>
      </c>
      <c r="D114" s="404" t="s">
        <v>231</v>
      </c>
      <c r="E114" s="404" t="s">
        <v>430</v>
      </c>
      <c r="F114" s="404">
        <v>0</v>
      </c>
      <c r="G114" s="404">
        <v>0</v>
      </c>
      <c r="H114" s="404">
        <v>6231</v>
      </c>
      <c r="I114" s="404">
        <v>3538</v>
      </c>
      <c r="J114" s="404">
        <v>28758</v>
      </c>
      <c r="K114" s="404">
        <v>15688</v>
      </c>
      <c r="L114" s="404">
        <v>334228</v>
      </c>
      <c r="M114" s="404">
        <v>6755</v>
      </c>
      <c r="N114" s="404">
        <v>0</v>
      </c>
      <c r="O114" s="404">
        <v>16191</v>
      </c>
      <c r="P114" s="404">
        <v>11650</v>
      </c>
      <c r="Q114" s="404">
        <v>0</v>
      </c>
      <c r="R114" s="404">
        <v>18387</v>
      </c>
      <c r="S114" s="404">
        <v>0</v>
      </c>
      <c r="T114" s="404">
        <v>0</v>
      </c>
      <c r="U114" s="404">
        <v>0</v>
      </c>
      <c r="V114" s="404">
        <v>382845</v>
      </c>
      <c r="W114" s="404">
        <v>0</v>
      </c>
      <c r="X114" s="404">
        <v>41002</v>
      </c>
      <c r="Y114" s="404">
        <v>0</v>
      </c>
      <c r="Z114" s="404">
        <v>32430</v>
      </c>
      <c r="AA114" s="404">
        <v>0</v>
      </c>
      <c r="AB114" s="404">
        <v>38415</v>
      </c>
      <c r="AC114" s="404">
        <v>1136</v>
      </c>
      <c r="AD114" s="404">
        <v>0</v>
      </c>
      <c r="AE114" s="404">
        <v>2</v>
      </c>
      <c r="AF114" s="404">
        <v>81643</v>
      </c>
      <c r="AG114" s="404">
        <v>0</v>
      </c>
      <c r="AH114" s="404">
        <v>7845</v>
      </c>
      <c r="AI114" s="404">
        <v>0</v>
      </c>
      <c r="AJ114" s="404">
        <v>122904</v>
      </c>
      <c r="AK114" s="404">
        <v>7397</v>
      </c>
      <c r="AL114" s="404">
        <v>24362</v>
      </c>
      <c r="AM114" s="404">
        <v>727</v>
      </c>
      <c r="AN114" s="404">
        <v>1924</v>
      </c>
      <c r="AO114" s="404">
        <v>31</v>
      </c>
      <c r="AP114" s="404">
        <v>0</v>
      </c>
      <c r="AQ114" s="404">
        <v>17184</v>
      </c>
      <c r="AR114" s="404">
        <v>0</v>
      </c>
      <c r="AS114" s="404">
        <v>0</v>
      </c>
      <c r="AT114" s="404">
        <v>0</v>
      </c>
      <c r="AU114" s="404">
        <v>0</v>
      </c>
      <c r="AV114" s="404">
        <v>0</v>
      </c>
      <c r="AW114" s="404">
        <v>2136</v>
      </c>
      <c r="AX114" s="404">
        <v>6375</v>
      </c>
      <c r="AY114" s="404">
        <v>1868</v>
      </c>
      <c r="AZ114" s="404">
        <v>0</v>
      </c>
      <c r="BA114" s="404">
        <v>0</v>
      </c>
      <c r="BB114" s="404">
        <v>52932</v>
      </c>
      <c r="BC114" s="404">
        <v>0</v>
      </c>
      <c r="BD114" s="404">
        <v>115550</v>
      </c>
      <c r="BE114" s="404">
        <v>37999</v>
      </c>
      <c r="BF114" s="404">
        <v>13125</v>
      </c>
      <c r="BG114" s="404">
        <v>5489</v>
      </c>
      <c r="BH114" s="404">
        <v>11266</v>
      </c>
      <c r="BI114" s="404">
        <v>164588</v>
      </c>
      <c r="BJ114" s="404">
        <v>0</v>
      </c>
      <c r="BK114" s="404">
        <v>0</v>
      </c>
      <c r="BL114" s="404">
        <v>0</v>
      </c>
      <c r="BM114" s="404">
        <v>44915</v>
      </c>
      <c r="BN114" s="404">
        <v>56299</v>
      </c>
      <c r="BO114" s="404">
        <v>0</v>
      </c>
      <c r="BP114" s="404">
        <v>0</v>
      </c>
      <c r="BQ114" s="404">
        <v>3406</v>
      </c>
      <c r="BR114" s="404">
        <v>0</v>
      </c>
      <c r="BS114" s="404">
        <v>0</v>
      </c>
      <c r="BT114" s="404">
        <v>0</v>
      </c>
      <c r="BU114" s="404">
        <v>12706</v>
      </c>
      <c r="BV114" s="404">
        <v>0</v>
      </c>
      <c r="BW114" s="404">
        <v>0</v>
      </c>
      <c r="BX114" s="404">
        <v>13818</v>
      </c>
      <c r="BY114" s="404">
        <v>205215</v>
      </c>
      <c r="BZ114" s="404">
        <v>1589</v>
      </c>
      <c r="CA114" s="404">
        <v>0</v>
      </c>
      <c r="CB114" s="404">
        <v>114224</v>
      </c>
      <c r="CC114" s="404">
        <v>0</v>
      </c>
      <c r="CD114" s="404">
        <v>472128</v>
      </c>
      <c r="CE114" s="404">
        <v>907</v>
      </c>
      <c r="CF114" s="404">
        <v>40434</v>
      </c>
      <c r="CG114" s="404">
        <v>0</v>
      </c>
      <c r="CH114" s="404">
        <v>22374</v>
      </c>
      <c r="CI114" s="404">
        <v>5768943</v>
      </c>
      <c r="CJ114" s="404">
        <v>54040</v>
      </c>
      <c r="CK114" s="404">
        <v>289</v>
      </c>
      <c r="CL114" s="404">
        <v>0</v>
      </c>
      <c r="CM114" s="404">
        <v>1003</v>
      </c>
      <c r="CN114" s="404">
        <v>70140</v>
      </c>
      <c r="CO114" s="404">
        <v>7083</v>
      </c>
      <c r="CP114" s="404">
        <v>20396</v>
      </c>
      <c r="CQ114" s="404">
        <v>0</v>
      </c>
      <c r="CR114" s="404">
        <v>0</v>
      </c>
    </row>
    <row r="115" spans="1:96" s="404" customFormat="1" x14ac:dyDescent="0.3">
      <c r="A115" s="404">
        <v>351</v>
      </c>
      <c r="B115" s="405">
        <v>351</v>
      </c>
      <c r="C115" s="404">
        <v>351</v>
      </c>
      <c r="D115" s="404" t="s">
        <v>232</v>
      </c>
      <c r="E115" s="404" t="s">
        <v>431</v>
      </c>
      <c r="F115" s="404">
        <v>0</v>
      </c>
      <c r="G115" s="404">
        <v>0</v>
      </c>
      <c r="H115" s="404">
        <v>0</v>
      </c>
      <c r="I115" s="404">
        <v>67918</v>
      </c>
      <c r="J115" s="404">
        <v>72580</v>
      </c>
      <c r="K115" s="404">
        <v>0</v>
      </c>
      <c r="L115" s="404">
        <v>522055</v>
      </c>
      <c r="M115" s="404">
        <v>34343</v>
      </c>
      <c r="N115" s="404">
        <v>0</v>
      </c>
      <c r="O115" s="404">
        <v>0</v>
      </c>
      <c r="P115" s="404">
        <v>26736</v>
      </c>
      <c r="Q115" s="404">
        <v>0</v>
      </c>
      <c r="R115" s="404">
        <v>15728</v>
      </c>
      <c r="S115" s="404">
        <v>0</v>
      </c>
      <c r="T115" s="404">
        <v>0</v>
      </c>
      <c r="U115" s="404">
        <v>0</v>
      </c>
      <c r="V115" s="404">
        <v>276362</v>
      </c>
      <c r="W115" s="404">
        <v>0</v>
      </c>
      <c r="X115" s="404">
        <v>0</v>
      </c>
      <c r="Y115" s="404">
        <v>0</v>
      </c>
      <c r="Z115" s="404">
        <v>35701</v>
      </c>
      <c r="AA115" s="404">
        <v>0</v>
      </c>
      <c r="AB115" s="404">
        <v>0</v>
      </c>
      <c r="AC115" s="404">
        <v>17189</v>
      </c>
      <c r="AD115" s="404">
        <v>0</v>
      </c>
      <c r="AE115" s="404">
        <v>4030</v>
      </c>
      <c r="AF115" s="404">
        <v>778154</v>
      </c>
      <c r="AG115" s="404">
        <v>0</v>
      </c>
      <c r="AH115" s="404">
        <v>18463</v>
      </c>
      <c r="AI115" s="404">
        <v>0</v>
      </c>
      <c r="AJ115" s="404">
        <v>694462</v>
      </c>
      <c r="AK115" s="404">
        <v>444685</v>
      </c>
      <c r="AL115" s="404">
        <v>30862</v>
      </c>
      <c r="AM115" s="404">
        <v>21570</v>
      </c>
      <c r="AN115" s="404">
        <v>73316</v>
      </c>
      <c r="AO115" s="404">
        <v>758</v>
      </c>
      <c r="AP115" s="404">
        <v>0</v>
      </c>
      <c r="AQ115" s="404">
        <v>194297</v>
      </c>
      <c r="AR115" s="404">
        <v>0</v>
      </c>
      <c r="AS115" s="404">
        <v>0</v>
      </c>
      <c r="AT115" s="404">
        <v>0</v>
      </c>
      <c r="AU115" s="404">
        <v>0</v>
      </c>
      <c r="AV115" s="404">
        <v>0</v>
      </c>
      <c r="AW115" s="404">
        <v>4072</v>
      </c>
      <c r="AX115" s="404">
        <v>4997</v>
      </c>
      <c r="AY115" s="404">
        <v>0</v>
      </c>
      <c r="AZ115" s="404">
        <v>0</v>
      </c>
      <c r="BA115" s="404">
        <v>0</v>
      </c>
      <c r="BB115" s="404">
        <v>137868</v>
      </c>
      <c r="BC115" s="404">
        <v>0</v>
      </c>
      <c r="BD115" s="404">
        <v>14826</v>
      </c>
      <c r="BE115" s="404">
        <v>11050</v>
      </c>
      <c r="BF115" s="404">
        <v>0</v>
      </c>
      <c r="BG115" s="404">
        <v>0</v>
      </c>
      <c r="BH115" s="404">
        <v>34683</v>
      </c>
      <c r="BI115" s="404">
        <v>18618</v>
      </c>
      <c r="BJ115" s="404">
        <v>0</v>
      </c>
      <c r="BK115" s="404">
        <v>0</v>
      </c>
      <c r="BL115" s="404">
        <v>0</v>
      </c>
      <c r="BM115" s="404">
        <v>9574</v>
      </c>
      <c r="BN115" s="404">
        <v>55140</v>
      </c>
      <c r="BO115" s="404">
        <v>0</v>
      </c>
      <c r="BP115" s="404">
        <v>0</v>
      </c>
      <c r="BQ115" s="404">
        <v>0</v>
      </c>
      <c r="BR115" s="404">
        <v>0</v>
      </c>
      <c r="BS115" s="404">
        <v>0</v>
      </c>
      <c r="BT115" s="404">
        <v>0</v>
      </c>
      <c r="BU115" s="404">
        <v>21644</v>
      </c>
      <c r="BV115" s="404">
        <v>0</v>
      </c>
      <c r="BW115" s="404">
        <v>0</v>
      </c>
      <c r="BX115" s="404">
        <v>11857</v>
      </c>
      <c r="BY115" s="404">
        <v>28852</v>
      </c>
      <c r="BZ115" s="404">
        <v>0</v>
      </c>
      <c r="CA115" s="404">
        <v>0</v>
      </c>
      <c r="CB115" s="404">
        <v>150723</v>
      </c>
      <c r="CC115" s="404">
        <v>0</v>
      </c>
      <c r="CD115" s="404">
        <v>471035</v>
      </c>
      <c r="CE115" s="404">
        <v>93144</v>
      </c>
      <c r="CF115" s="404">
        <v>0</v>
      </c>
      <c r="CG115" s="404">
        <v>18786</v>
      </c>
      <c r="CH115" s="404">
        <v>98775</v>
      </c>
      <c r="CI115" s="404">
        <v>19583483</v>
      </c>
      <c r="CJ115" s="404">
        <v>120850</v>
      </c>
      <c r="CK115" s="404">
        <v>4538</v>
      </c>
      <c r="CL115" s="404">
        <v>0</v>
      </c>
      <c r="CM115" s="404">
        <v>0</v>
      </c>
      <c r="CN115" s="404">
        <v>0</v>
      </c>
      <c r="CO115" s="404">
        <v>0</v>
      </c>
      <c r="CP115" s="404">
        <v>85010</v>
      </c>
      <c r="CQ115" s="404">
        <v>0</v>
      </c>
      <c r="CR115" s="404">
        <v>0</v>
      </c>
    </row>
    <row r="116" spans="1:96" s="404" customFormat="1" x14ac:dyDescent="0.3">
      <c r="A116" s="404">
        <v>352</v>
      </c>
      <c r="B116" s="405">
        <v>352</v>
      </c>
      <c r="C116" s="404">
        <v>352</v>
      </c>
      <c r="D116" s="404" t="s">
        <v>234</v>
      </c>
      <c r="E116" s="404" t="s">
        <v>432</v>
      </c>
      <c r="F116" s="404">
        <v>0</v>
      </c>
      <c r="G116" s="404">
        <v>0</v>
      </c>
      <c r="H116" s="404">
        <v>0</v>
      </c>
      <c r="I116" s="404">
        <v>0</v>
      </c>
      <c r="J116" s="404">
        <v>0</v>
      </c>
      <c r="K116" s="404">
        <v>0</v>
      </c>
      <c r="L116" s="404">
        <v>0</v>
      </c>
      <c r="M116" s="404">
        <v>0</v>
      </c>
      <c r="N116" s="404">
        <v>0</v>
      </c>
      <c r="O116" s="404">
        <v>0</v>
      </c>
      <c r="P116" s="404">
        <v>0</v>
      </c>
      <c r="Q116" s="404">
        <v>0</v>
      </c>
      <c r="R116" s="404">
        <v>10007</v>
      </c>
      <c r="S116" s="404">
        <v>0</v>
      </c>
      <c r="T116" s="404">
        <v>0</v>
      </c>
      <c r="U116" s="404">
        <v>0</v>
      </c>
      <c r="V116" s="404">
        <v>0</v>
      </c>
      <c r="W116" s="404">
        <v>0</v>
      </c>
      <c r="X116" s="404">
        <v>125000</v>
      </c>
      <c r="Y116" s="404">
        <v>0</v>
      </c>
      <c r="Z116" s="404">
        <v>0</v>
      </c>
      <c r="AA116" s="404">
        <v>0</v>
      </c>
      <c r="AB116" s="404">
        <v>0</v>
      </c>
      <c r="AC116" s="404">
        <v>0</v>
      </c>
      <c r="AD116" s="404">
        <v>0</v>
      </c>
      <c r="AE116" s="404">
        <v>0</v>
      </c>
      <c r="AF116" s="404">
        <v>0</v>
      </c>
      <c r="AG116" s="404">
        <v>0</v>
      </c>
      <c r="AH116" s="404">
        <v>0</v>
      </c>
      <c r="AI116" s="404">
        <v>0</v>
      </c>
      <c r="AJ116" s="404">
        <v>0</v>
      </c>
      <c r="AK116" s="404">
        <v>1255355</v>
      </c>
      <c r="AL116" s="404">
        <v>0</v>
      </c>
      <c r="AM116" s="404">
        <v>0</v>
      </c>
      <c r="AN116" s="404">
        <v>0</v>
      </c>
      <c r="AO116" s="404">
        <v>0</v>
      </c>
      <c r="AP116" s="404">
        <v>0</v>
      </c>
      <c r="AQ116" s="404">
        <v>0</v>
      </c>
      <c r="AR116" s="404">
        <v>0</v>
      </c>
      <c r="AS116" s="404">
        <v>0</v>
      </c>
      <c r="AT116" s="404">
        <v>0</v>
      </c>
      <c r="AU116" s="404">
        <v>0</v>
      </c>
      <c r="AV116" s="404">
        <v>0</v>
      </c>
      <c r="AW116" s="404">
        <v>0</v>
      </c>
      <c r="AX116" s="404">
        <v>10000</v>
      </c>
      <c r="AY116" s="404">
        <v>0</v>
      </c>
      <c r="AZ116" s="404">
        <v>0</v>
      </c>
      <c r="BA116" s="404">
        <v>0</v>
      </c>
      <c r="BB116" s="404">
        <v>0</v>
      </c>
      <c r="BC116" s="404">
        <v>0</v>
      </c>
      <c r="BD116" s="404">
        <v>0</v>
      </c>
      <c r="BE116" s="404">
        <v>0</v>
      </c>
      <c r="BF116" s="404">
        <v>0</v>
      </c>
      <c r="BG116" s="404">
        <v>0</v>
      </c>
      <c r="BH116" s="404">
        <v>0</v>
      </c>
      <c r="BI116" s="404">
        <v>0</v>
      </c>
      <c r="BJ116" s="404">
        <v>0</v>
      </c>
      <c r="BK116" s="404">
        <v>0</v>
      </c>
      <c r="BL116" s="404">
        <v>0</v>
      </c>
      <c r="BM116" s="404">
        <v>0</v>
      </c>
      <c r="BN116" s="404">
        <v>0</v>
      </c>
      <c r="BO116" s="404">
        <v>0</v>
      </c>
      <c r="BP116" s="404">
        <v>0</v>
      </c>
      <c r="BQ116" s="404">
        <v>0</v>
      </c>
      <c r="BR116" s="404">
        <v>0</v>
      </c>
      <c r="BS116" s="404">
        <v>0</v>
      </c>
      <c r="BT116" s="404">
        <v>0</v>
      </c>
      <c r="BU116" s="404">
        <v>0</v>
      </c>
      <c r="BV116" s="404">
        <v>0</v>
      </c>
      <c r="BW116" s="404">
        <v>0</v>
      </c>
      <c r="BX116" s="404">
        <v>0</v>
      </c>
      <c r="BY116" s="404">
        <v>0</v>
      </c>
      <c r="BZ116" s="404">
        <v>0</v>
      </c>
      <c r="CA116" s="404">
        <v>0</v>
      </c>
      <c r="CB116" s="404">
        <v>0</v>
      </c>
      <c r="CC116" s="404">
        <v>0</v>
      </c>
      <c r="CD116" s="404">
        <v>0</v>
      </c>
      <c r="CE116" s="404">
        <v>0</v>
      </c>
      <c r="CF116" s="404">
        <v>0</v>
      </c>
      <c r="CG116" s="404">
        <v>0</v>
      </c>
      <c r="CH116" s="404">
        <v>0</v>
      </c>
      <c r="CI116" s="404">
        <v>120720</v>
      </c>
      <c r="CJ116" s="404">
        <v>301902</v>
      </c>
      <c r="CK116" s="404">
        <v>0</v>
      </c>
      <c r="CL116" s="404">
        <v>0</v>
      </c>
      <c r="CM116" s="404">
        <v>0</v>
      </c>
      <c r="CN116" s="404">
        <v>0</v>
      </c>
      <c r="CO116" s="404">
        <v>0</v>
      </c>
      <c r="CP116" s="404">
        <v>0</v>
      </c>
      <c r="CQ116" s="404">
        <v>0</v>
      </c>
      <c r="CR116" s="404">
        <v>0</v>
      </c>
    </row>
    <row r="117" spans="1:96" s="404" customFormat="1" x14ac:dyDescent="0.3">
      <c r="A117" s="404">
        <v>353</v>
      </c>
      <c r="B117" s="405">
        <v>353</v>
      </c>
      <c r="C117" s="404">
        <v>353</v>
      </c>
      <c r="D117" s="404" t="s">
        <v>235</v>
      </c>
      <c r="E117" s="404" t="s">
        <v>433</v>
      </c>
      <c r="F117" s="404">
        <v>0</v>
      </c>
      <c r="G117" s="404">
        <v>0</v>
      </c>
      <c r="H117" s="404">
        <v>0</v>
      </c>
      <c r="I117" s="404">
        <v>0</v>
      </c>
      <c r="J117" s="404">
        <v>0</v>
      </c>
      <c r="K117" s="404">
        <v>0</v>
      </c>
      <c r="L117" s="404">
        <v>334126</v>
      </c>
      <c r="M117" s="404">
        <v>0</v>
      </c>
      <c r="N117" s="404">
        <v>0</v>
      </c>
      <c r="O117" s="404">
        <v>0</v>
      </c>
      <c r="P117" s="404">
        <v>24000</v>
      </c>
      <c r="Q117" s="404">
        <v>0</v>
      </c>
      <c r="R117" s="404">
        <v>0</v>
      </c>
      <c r="S117" s="404">
        <v>0</v>
      </c>
      <c r="T117" s="404">
        <v>0</v>
      </c>
      <c r="U117" s="404">
        <v>0</v>
      </c>
      <c r="V117" s="404">
        <v>0</v>
      </c>
      <c r="W117" s="404">
        <v>0</v>
      </c>
      <c r="X117" s="404">
        <v>0</v>
      </c>
      <c r="Y117" s="404">
        <v>0</v>
      </c>
      <c r="Z117" s="404">
        <v>0</v>
      </c>
      <c r="AA117" s="404">
        <v>0</v>
      </c>
      <c r="AB117" s="404">
        <v>0</v>
      </c>
      <c r="AC117" s="404">
        <v>0</v>
      </c>
      <c r="AD117" s="404">
        <v>0</v>
      </c>
      <c r="AE117" s="404">
        <v>0</v>
      </c>
      <c r="AF117" s="404">
        <v>0</v>
      </c>
      <c r="AG117" s="404">
        <v>0</v>
      </c>
      <c r="AH117" s="404">
        <v>0</v>
      </c>
      <c r="AI117" s="404">
        <v>0</v>
      </c>
      <c r="AJ117" s="404">
        <v>0</v>
      </c>
      <c r="AK117" s="404">
        <v>0</v>
      </c>
      <c r="AL117" s="404">
        <v>0</v>
      </c>
      <c r="AM117" s="404">
        <v>124203</v>
      </c>
      <c r="AN117" s="404">
        <v>0</v>
      </c>
      <c r="AO117" s="404">
        <v>0</v>
      </c>
      <c r="AP117" s="404">
        <v>0</v>
      </c>
      <c r="AQ117" s="404">
        <v>126935</v>
      </c>
      <c r="AR117" s="404">
        <v>0</v>
      </c>
      <c r="AS117" s="404">
        <v>0</v>
      </c>
      <c r="AT117" s="404">
        <v>0</v>
      </c>
      <c r="AU117" s="404">
        <v>0</v>
      </c>
      <c r="AV117" s="404">
        <v>0</v>
      </c>
      <c r="AW117" s="404">
        <v>0</v>
      </c>
      <c r="AX117" s="404">
        <v>48700</v>
      </c>
      <c r="AY117" s="404">
        <v>10000</v>
      </c>
      <c r="AZ117" s="404">
        <v>0</v>
      </c>
      <c r="BA117" s="404">
        <v>0</v>
      </c>
      <c r="BB117" s="404">
        <v>200645</v>
      </c>
      <c r="BC117" s="404">
        <v>0</v>
      </c>
      <c r="BD117" s="404">
        <v>0</v>
      </c>
      <c r="BE117" s="404">
        <v>0</v>
      </c>
      <c r="BF117" s="404">
        <v>0</v>
      </c>
      <c r="BG117" s="404">
        <v>0</v>
      </c>
      <c r="BH117" s="404">
        <v>48217</v>
      </c>
      <c r="BI117" s="404">
        <v>739506</v>
      </c>
      <c r="BJ117" s="404">
        <v>0</v>
      </c>
      <c r="BK117" s="404">
        <v>0</v>
      </c>
      <c r="BL117" s="404">
        <v>0</v>
      </c>
      <c r="BM117" s="404">
        <v>0</v>
      </c>
      <c r="BN117" s="404">
        <v>0</v>
      </c>
      <c r="BO117" s="404">
        <v>0</v>
      </c>
      <c r="BP117" s="404">
        <v>0</v>
      </c>
      <c r="BQ117" s="404">
        <v>20766</v>
      </c>
      <c r="BR117" s="404">
        <v>0</v>
      </c>
      <c r="BS117" s="404">
        <v>0</v>
      </c>
      <c r="BT117" s="404">
        <v>0</v>
      </c>
      <c r="BU117" s="404">
        <v>0</v>
      </c>
      <c r="BV117" s="404">
        <v>0</v>
      </c>
      <c r="BW117" s="404">
        <v>0</v>
      </c>
      <c r="BX117" s="404">
        <v>0</v>
      </c>
      <c r="BY117" s="404">
        <v>128482</v>
      </c>
      <c r="BZ117" s="404">
        <v>0</v>
      </c>
      <c r="CA117" s="404">
        <v>0</v>
      </c>
      <c r="CB117" s="404">
        <v>0</v>
      </c>
      <c r="CC117" s="404">
        <v>0</v>
      </c>
      <c r="CD117" s="404">
        <v>0</v>
      </c>
      <c r="CE117" s="404">
        <v>0</v>
      </c>
      <c r="CF117" s="404">
        <v>0</v>
      </c>
      <c r="CG117" s="404">
        <v>0</v>
      </c>
      <c r="CH117" s="404">
        <v>6764</v>
      </c>
      <c r="CI117" s="404">
        <v>386074</v>
      </c>
      <c r="CJ117" s="404">
        <v>301902</v>
      </c>
      <c r="CK117" s="404">
        <v>0</v>
      </c>
      <c r="CL117" s="404">
        <v>0</v>
      </c>
      <c r="CM117" s="404">
        <v>0</v>
      </c>
      <c r="CN117" s="404">
        <v>750000</v>
      </c>
      <c r="CO117" s="404">
        <v>0</v>
      </c>
      <c r="CP117" s="404">
        <v>34901</v>
      </c>
      <c r="CQ117" s="404">
        <v>0</v>
      </c>
      <c r="CR117" s="404">
        <v>0</v>
      </c>
    </row>
    <row r="118" spans="1:96" s="404" customFormat="1" x14ac:dyDescent="0.3">
      <c r="A118" s="404">
        <v>356</v>
      </c>
      <c r="B118" s="405">
        <v>356</v>
      </c>
      <c r="C118" s="404">
        <v>356</v>
      </c>
      <c r="D118" s="404" t="s">
        <v>551</v>
      </c>
      <c r="E118" s="404" t="s">
        <v>434</v>
      </c>
      <c r="F118" s="404">
        <v>0</v>
      </c>
      <c r="G118" s="404">
        <v>0</v>
      </c>
      <c r="H118" s="404">
        <v>0</v>
      </c>
      <c r="I118" s="404">
        <v>0</v>
      </c>
      <c r="J118" s="404">
        <v>2731789</v>
      </c>
      <c r="K118" s="404">
        <v>0</v>
      </c>
      <c r="L118" s="404">
        <v>52144399</v>
      </c>
      <c r="M118" s="404">
        <v>0</v>
      </c>
      <c r="N118" s="404">
        <v>0</v>
      </c>
      <c r="O118" s="404">
        <v>0</v>
      </c>
      <c r="P118" s="404">
        <v>0</v>
      </c>
      <c r="Q118" s="404">
        <v>0</v>
      </c>
      <c r="R118" s="404">
        <v>0</v>
      </c>
      <c r="S118" s="404">
        <v>0</v>
      </c>
      <c r="T118" s="404">
        <v>0</v>
      </c>
      <c r="U118" s="404">
        <v>0</v>
      </c>
      <c r="V118" s="404">
        <v>0</v>
      </c>
      <c r="W118" s="404">
        <v>0</v>
      </c>
      <c r="X118" s="404">
        <v>0</v>
      </c>
      <c r="Y118" s="404">
        <v>0</v>
      </c>
      <c r="Z118" s="404">
        <v>0</v>
      </c>
      <c r="AA118" s="404">
        <v>0</v>
      </c>
      <c r="AB118" s="404">
        <v>57227439</v>
      </c>
      <c r="AC118" s="404">
        <v>0</v>
      </c>
      <c r="AD118" s="404">
        <v>0</v>
      </c>
      <c r="AE118" s="404">
        <v>0</v>
      </c>
      <c r="AF118" s="404">
        <v>0</v>
      </c>
      <c r="AG118" s="404">
        <v>0</v>
      </c>
      <c r="AH118" s="404">
        <v>0</v>
      </c>
      <c r="AI118" s="404">
        <v>0</v>
      </c>
      <c r="AJ118" s="404">
        <v>0</v>
      </c>
      <c r="AK118" s="404">
        <v>0</v>
      </c>
      <c r="AL118" s="404">
        <v>0</v>
      </c>
      <c r="AM118" s="404">
        <v>0</v>
      </c>
      <c r="AN118" s="404">
        <v>0</v>
      </c>
      <c r="AO118" s="404">
        <v>0</v>
      </c>
      <c r="AP118" s="404">
        <v>0</v>
      </c>
      <c r="AQ118" s="404">
        <v>0</v>
      </c>
      <c r="AR118" s="404">
        <v>0</v>
      </c>
      <c r="AS118" s="404">
        <v>0</v>
      </c>
      <c r="AT118" s="404">
        <v>0</v>
      </c>
      <c r="AU118" s="404">
        <v>0</v>
      </c>
      <c r="AV118" s="404">
        <v>0</v>
      </c>
      <c r="AW118" s="404">
        <v>0</v>
      </c>
      <c r="AX118" s="404">
        <v>0</v>
      </c>
      <c r="AY118" s="404">
        <v>0</v>
      </c>
      <c r="AZ118" s="404">
        <v>39111561</v>
      </c>
      <c r="BA118" s="404">
        <v>0</v>
      </c>
      <c r="BB118" s="404">
        <v>0</v>
      </c>
      <c r="BC118" s="404">
        <v>0</v>
      </c>
      <c r="BD118" s="404">
        <v>0</v>
      </c>
      <c r="BE118" s="404">
        <v>0</v>
      </c>
      <c r="BF118" s="404">
        <v>415728</v>
      </c>
      <c r="BG118" s="404">
        <v>0</v>
      </c>
      <c r="BH118" s="404">
        <v>0</v>
      </c>
      <c r="BI118" s="404">
        <v>75059206</v>
      </c>
      <c r="BJ118" s="404">
        <v>0</v>
      </c>
      <c r="BK118" s="404">
        <v>0</v>
      </c>
      <c r="BL118" s="404">
        <v>0</v>
      </c>
      <c r="BM118" s="404">
        <v>8665428</v>
      </c>
      <c r="BN118" s="404">
        <v>0</v>
      </c>
      <c r="BO118" s="404">
        <v>0</v>
      </c>
      <c r="BP118" s="404">
        <v>0</v>
      </c>
      <c r="BQ118" s="404">
        <v>0</v>
      </c>
      <c r="BR118" s="404">
        <v>0</v>
      </c>
      <c r="BS118" s="404">
        <v>0</v>
      </c>
      <c r="BT118" s="404">
        <v>0</v>
      </c>
      <c r="BU118" s="404">
        <v>0</v>
      </c>
      <c r="BV118" s="404">
        <v>0</v>
      </c>
      <c r="BW118" s="404">
        <v>0</v>
      </c>
      <c r="BX118" s="404">
        <v>0</v>
      </c>
      <c r="BY118" s="404">
        <v>0</v>
      </c>
      <c r="BZ118" s="404">
        <v>0</v>
      </c>
      <c r="CA118" s="404">
        <v>0</v>
      </c>
      <c r="CB118" s="404">
        <v>0</v>
      </c>
      <c r="CC118" s="404">
        <v>0</v>
      </c>
      <c r="CD118" s="404">
        <v>180172098</v>
      </c>
      <c r="CE118" s="404">
        <v>0</v>
      </c>
      <c r="CF118" s="404">
        <v>7541199</v>
      </c>
      <c r="CG118" s="404">
        <v>0</v>
      </c>
      <c r="CH118" s="404">
        <v>0</v>
      </c>
      <c r="CI118" s="404">
        <v>0</v>
      </c>
      <c r="CJ118" s="404">
        <v>10941100</v>
      </c>
      <c r="CK118" s="404">
        <v>0</v>
      </c>
      <c r="CL118" s="404">
        <v>0</v>
      </c>
      <c r="CM118" s="404">
        <v>0</v>
      </c>
      <c r="CN118" s="404">
        <v>0</v>
      </c>
      <c r="CO118" s="404">
        <v>0</v>
      </c>
      <c r="CP118" s="404">
        <v>0</v>
      </c>
      <c r="CQ118" s="404">
        <v>0</v>
      </c>
      <c r="CR118" s="404">
        <v>0</v>
      </c>
    </row>
    <row r="119" spans="1:96" s="404" customFormat="1" x14ac:dyDescent="0.3">
      <c r="A119" s="404">
        <v>357</v>
      </c>
      <c r="B119" s="405">
        <v>357</v>
      </c>
      <c r="C119" s="404">
        <v>357</v>
      </c>
      <c r="D119" s="404" t="s">
        <v>552</v>
      </c>
      <c r="E119" s="404" t="s">
        <v>435</v>
      </c>
      <c r="F119" s="404">
        <v>0</v>
      </c>
      <c r="G119" s="404">
        <v>0</v>
      </c>
      <c r="H119" s="404">
        <v>0</v>
      </c>
      <c r="I119" s="404">
        <v>0</v>
      </c>
      <c r="J119" s="404">
        <v>1638264</v>
      </c>
      <c r="K119" s="404">
        <v>0</v>
      </c>
      <c r="L119" s="404">
        <v>24459600</v>
      </c>
      <c r="M119" s="404">
        <v>0</v>
      </c>
      <c r="N119" s="404">
        <v>0</v>
      </c>
      <c r="O119" s="404">
        <v>0</v>
      </c>
      <c r="P119" s="404">
        <v>0</v>
      </c>
      <c r="Q119" s="404">
        <v>0</v>
      </c>
      <c r="R119" s="404">
        <v>0</v>
      </c>
      <c r="S119" s="404">
        <v>0</v>
      </c>
      <c r="T119" s="404">
        <v>0</v>
      </c>
      <c r="U119" s="404">
        <v>0</v>
      </c>
      <c r="V119" s="404">
        <v>0</v>
      </c>
      <c r="W119" s="404">
        <v>0</v>
      </c>
      <c r="X119" s="404">
        <v>0</v>
      </c>
      <c r="Y119" s="404">
        <v>0</v>
      </c>
      <c r="Z119" s="404">
        <v>0</v>
      </c>
      <c r="AA119" s="404">
        <v>0</v>
      </c>
      <c r="AB119" s="404">
        <v>39944658</v>
      </c>
      <c r="AC119" s="404">
        <v>0</v>
      </c>
      <c r="AD119" s="404">
        <v>0</v>
      </c>
      <c r="AE119" s="404">
        <v>0</v>
      </c>
      <c r="AF119" s="404">
        <v>0</v>
      </c>
      <c r="AG119" s="404">
        <v>0</v>
      </c>
      <c r="AH119" s="404">
        <v>0</v>
      </c>
      <c r="AI119" s="404">
        <v>0</v>
      </c>
      <c r="AJ119" s="404">
        <v>0</v>
      </c>
      <c r="AK119" s="404">
        <v>0</v>
      </c>
      <c r="AL119" s="404">
        <v>0</v>
      </c>
      <c r="AM119" s="404">
        <v>0</v>
      </c>
      <c r="AN119" s="404">
        <v>0</v>
      </c>
      <c r="AO119" s="404">
        <v>0</v>
      </c>
      <c r="AP119" s="404">
        <v>0</v>
      </c>
      <c r="AQ119" s="404">
        <v>0</v>
      </c>
      <c r="AR119" s="404">
        <v>0</v>
      </c>
      <c r="AS119" s="404">
        <v>0</v>
      </c>
      <c r="AT119" s="404">
        <v>0</v>
      </c>
      <c r="AU119" s="404">
        <v>0</v>
      </c>
      <c r="AV119" s="404">
        <v>0</v>
      </c>
      <c r="AW119" s="404">
        <v>0</v>
      </c>
      <c r="AX119" s="404">
        <v>0</v>
      </c>
      <c r="AY119" s="404">
        <v>0</v>
      </c>
      <c r="AZ119" s="404">
        <v>19001376</v>
      </c>
      <c r="BA119" s="404">
        <v>0</v>
      </c>
      <c r="BB119" s="404">
        <v>0</v>
      </c>
      <c r="BC119" s="404">
        <v>0</v>
      </c>
      <c r="BD119" s="404">
        <v>0</v>
      </c>
      <c r="BE119" s="404">
        <v>0</v>
      </c>
      <c r="BF119" s="404">
        <v>333823</v>
      </c>
      <c r="BG119" s="404">
        <v>0</v>
      </c>
      <c r="BH119" s="404">
        <v>0</v>
      </c>
      <c r="BI119" s="404">
        <v>44190138</v>
      </c>
      <c r="BJ119" s="404">
        <v>0</v>
      </c>
      <c r="BK119" s="404">
        <v>0</v>
      </c>
      <c r="BL119" s="404">
        <v>0</v>
      </c>
      <c r="BM119" s="404">
        <v>5967240</v>
      </c>
      <c r="BN119" s="404">
        <v>0</v>
      </c>
      <c r="BO119" s="404">
        <v>0</v>
      </c>
      <c r="BP119" s="404">
        <v>0</v>
      </c>
      <c r="BQ119" s="404">
        <v>0</v>
      </c>
      <c r="BR119" s="404">
        <v>0</v>
      </c>
      <c r="BS119" s="404">
        <v>0</v>
      </c>
      <c r="BT119" s="404">
        <v>0</v>
      </c>
      <c r="BU119" s="404">
        <v>0</v>
      </c>
      <c r="BV119" s="404">
        <v>0</v>
      </c>
      <c r="BW119" s="404">
        <v>0</v>
      </c>
      <c r="BX119" s="404">
        <v>0</v>
      </c>
      <c r="BY119" s="404">
        <v>0</v>
      </c>
      <c r="BZ119" s="404">
        <v>0</v>
      </c>
      <c r="CA119" s="404">
        <v>0</v>
      </c>
      <c r="CB119" s="404">
        <v>0</v>
      </c>
      <c r="CC119" s="404">
        <v>0</v>
      </c>
      <c r="CD119" s="404">
        <v>99229734</v>
      </c>
      <c r="CE119" s="404">
        <v>0</v>
      </c>
      <c r="CF119" s="404">
        <v>5269596</v>
      </c>
      <c r="CG119" s="404">
        <v>0</v>
      </c>
      <c r="CH119" s="404">
        <v>0</v>
      </c>
      <c r="CI119" s="404">
        <v>0</v>
      </c>
      <c r="CJ119" s="404">
        <v>5620575</v>
      </c>
      <c r="CK119" s="404">
        <v>0</v>
      </c>
      <c r="CL119" s="404">
        <v>0</v>
      </c>
      <c r="CM119" s="404">
        <v>0</v>
      </c>
      <c r="CN119" s="404">
        <v>0</v>
      </c>
      <c r="CO119" s="404">
        <v>0</v>
      </c>
      <c r="CP119" s="404">
        <v>0</v>
      </c>
      <c r="CQ119" s="404">
        <v>0</v>
      </c>
      <c r="CR119" s="404">
        <v>0</v>
      </c>
    </row>
    <row r="120" spans="1:96" s="404" customFormat="1" x14ac:dyDescent="0.3">
      <c r="A120" s="404">
        <v>359</v>
      </c>
      <c r="B120" s="405">
        <v>359</v>
      </c>
      <c r="C120" s="404">
        <v>359</v>
      </c>
      <c r="D120" s="404" t="s">
        <v>256</v>
      </c>
      <c r="E120" s="404" t="s">
        <v>436</v>
      </c>
      <c r="F120" s="404">
        <v>0</v>
      </c>
      <c r="G120" s="404">
        <v>0</v>
      </c>
      <c r="H120" s="404">
        <v>0</v>
      </c>
      <c r="I120" s="404">
        <v>0</v>
      </c>
      <c r="J120" s="404">
        <v>0</v>
      </c>
      <c r="K120" s="404">
        <v>0</v>
      </c>
      <c r="L120" s="404">
        <v>0</v>
      </c>
      <c r="M120" s="404">
        <v>0</v>
      </c>
      <c r="N120" s="404">
        <v>0</v>
      </c>
      <c r="O120" s="404">
        <v>0</v>
      </c>
      <c r="P120" s="404">
        <v>0</v>
      </c>
      <c r="Q120" s="404">
        <v>0</v>
      </c>
      <c r="R120" s="404">
        <v>0</v>
      </c>
      <c r="S120" s="404">
        <v>0</v>
      </c>
      <c r="T120" s="404">
        <v>0</v>
      </c>
      <c r="U120" s="404">
        <v>0</v>
      </c>
      <c r="V120" s="404">
        <v>0</v>
      </c>
      <c r="W120" s="404">
        <v>0</v>
      </c>
      <c r="X120" s="404">
        <v>0</v>
      </c>
      <c r="Y120" s="404">
        <v>0</v>
      </c>
      <c r="Z120" s="404">
        <v>0</v>
      </c>
      <c r="AA120" s="404">
        <v>0</v>
      </c>
      <c r="AB120" s="404">
        <v>0</v>
      </c>
      <c r="AC120" s="404">
        <v>0</v>
      </c>
      <c r="AD120" s="404">
        <v>0</v>
      </c>
      <c r="AE120" s="404">
        <v>0</v>
      </c>
      <c r="AF120" s="404">
        <v>0</v>
      </c>
      <c r="AG120" s="404">
        <v>0</v>
      </c>
      <c r="AH120" s="404">
        <v>0</v>
      </c>
      <c r="AI120" s="404">
        <v>0</v>
      </c>
      <c r="AJ120" s="404">
        <v>0</v>
      </c>
      <c r="AK120" s="404">
        <v>0</v>
      </c>
      <c r="AL120" s="404">
        <v>0</v>
      </c>
      <c r="AM120" s="404">
        <v>0</v>
      </c>
      <c r="AN120" s="404">
        <v>0</v>
      </c>
      <c r="AO120" s="404">
        <v>0</v>
      </c>
      <c r="AP120" s="404">
        <v>0</v>
      </c>
      <c r="AQ120" s="404">
        <v>0</v>
      </c>
      <c r="AR120" s="404">
        <v>0</v>
      </c>
      <c r="AS120" s="404">
        <v>0</v>
      </c>
      <c r="AT120" s="404">
        <v>0</v>
      </c>
      <c r="AU120" s="404">
        <v>0</v>
      </c>
      <c r="AV120" s="404">
        <v>0</v>
      </c>
      <c r="AW120" s="404">
        <v>0</v>
      </c>
      <c r="AX120" s="404">
        <v>0</v>
      </c>
      <c r="AY120" s="404">
        <v>0</v>
      </c>
      <c r="AZ120" s="404">
        <v>4165412</v>
      </c>
      <c r="BA120" s="404">
        <v>0</v>
      </c>
      <c r="BB120" s="404">
        <v>0</v>
      </c>
      <c r="BC120" s="404">
        <v>0</v>
      </c>
      <c r="BD120" s="404">
        <v>0</v>
      </c>
      <c r="BE120" s="404">
        <v>0</v>
      </c>
      <c r="BF120" s="404">
        <v>0</v>
      </c>
      <c r="BG120" s="404">
        <v>0</v>
      </c>
      <c r="BH120" s="404">
        <v>0</v>
      </c>
      <c r="BI120" s="404">
        <v>0</v>
      </c>
      <c r="BJ120" s="404">
        <v>0</v>
      </c>
      <c r="BK120" s="404">
        <v>0</v>
      </c>
      <c r="BL120" s="404">
        <v>0</v>
      </c>
      <c r="BM120" s="404">
        <v>352705</v>
      </c>
      <c r="BN120" s="404">
        <v>0</v>
      </c>
      <c r="BO120" s="404">
        <v>0</v>
      </c>
      <c r="BP120" s="404">
        <v>0</v>
      </c>
      <c r="BQ120" s="404">
        <v>0</v>
      </c>
      <c r="BR120" s="404">
        <v>0</v>
      </c>
      <c r="BS120" s="404">
        <v>0</v>
      </c>
      <c r="BT120" s="404">
        <v>0</v>
      </c>
      <c r="BU120" s="404">
        <v>0</v>
      </c>
      <c r="BV120" s="404">
        <v>0</v>
      </c>
      <c r="BW120" s="404">
        <v>0</v>
      </c>
      <c r="BX120" s="404">
        <v>0</v>
      </c>
      <c r="BY120" s="404">
        <v>0</v>
      </c>
      <c r="BZ120" s="404">
        <v>0</v>
      </c>
      <c r="CA120" s="404">
        <v>0</v>
      </c>
      <c r="CB120" s="404">
        <v>0</v>
      </c>
      <c r="CC120" s="404">
        <v>0</v>
      </c>
      <c r="CD120" s="404">
        <v>17555512</v>
      </c>
      <c r="CE120" s="404">
        <v>0</v>
      </c>
      <c r="CF120" s="404">
        <v>0</v>
      </c>
      <c r="CG120" s="404">
        <v>0</v>
      </c>
      <c r="CH120" s="404">
        <v>0</v>
      </c>
      <c r="CI120" s="404">
        <v>0</v>
      </c>
      <c r="CJ120" s="404">
        <v>1053672</v>
      </c>
      <c r="CK120" s="404">
        <v>0</v>
      </c>
      <c r="CL120" s="404">
        <v>0</v>
      </c>
      <c r="CM120" s="404">
        <v>0</v>
      </c>
      <c r="CN120" s="404">
        <v>0</v>
      </c>
      <c r="CO120" s="404">
        <v>0</v>
      </c>
      <c r="CP120" s="404">
        <v>0</v>
      </c>
      <c r="CQ120" s="404">
        <v>0</v>
      </c>
      <c r="CR120" s="404">
        <v>0</v>
      </c>
    </row>
    <row r="121" spans="1:96" s="404" customFormat="1" x14ac:dyDescent="0.3">
      <c r="A121" s="404">
        <v>360</v>
      </c>
      <c r="B121" s="405">
        <v>360</v>
      </c>
      <c r="C121" s="404">
        <v>360</v>
      </c>
      <c r="D121" s="404" t="s">
        <v>125</v>
      </c>
      <c r="E121" s="404" t="s">
        <v>437</v>
      </c>
      <c r="F121" s="404">
        <v>0</v>
      </c>
      <c r="G121" s="404">
        <v>0</v>
      </c>
      <c r="H121" s="404">
        <v>0</v>
      </c>
      <c r="I121" s="404">
        <v>0</v>
      </c>
      <c r="J121" s="404">
        <v>335587</v>
      </c>
      <c r="K121" s="404">
        <v>0</v>
      </c>
      <c r="L121" s="404">
        <v>6630793</v>
      </c>
      <c r="M121" s="404">
        <v>0</v>
      </c>
      <c r="N121" s="404">
        <v>0</v>
      </c>
      <c r="O121" s="404">
        <v>0</v>
      </c>
      <c r="P121" s="404">
        <v>0</v>
      </c>
      <c r="Q121" s="404">
        <v>0</v>
      </c>
      <c r="R121" s="404">
        <v>0</v>
      </c>
      <c r="S121" s="404">
        <v>0</v>
      </c>
      <c r="T121" s="404">
        <v>0</v>
      </c>
      <c r="U121" s="404">
        <v>0</v>
      </c>
      <c r="V121" s="404">
        <v>0</v>
      </c>
      <c r="W121" s="404">
        <v>0</v>
      </c>
      <c r="X121" s="404">
        <v>0</v>
      </c>
      <c r="Y121" s="404">
        <v>0</v>
      </c>
      <c r="Z121" s="404">
        <v>0</v>
      </c>
      <c r="AA121" s="404">
        <v>0</v>
      </c>
      <c r="AB121" s="404">
        <v>6413047</v>
      </c>
      <c r="AC121" s="404">
        <v>0</v>
      </c>
      <c r="AD121" s="404">
        <v>0</v>
      </c>
      <c r="AE121" s="404">
        <v>0</v>
      </c>
      <c r="AF121" s="404">
        <v>0</v>
      </c>
      <c r="AG121" s="404">
        <v>0</v>
      </c>
      <c r="AH121" s="404">
        <v>0</v>
      </c>
      <c r="AI121" s="404">
        <v>0</v>
      </c>
      <c r="AJ121" s="404">
        <v>0</v>
      </c>
      <c r="AK121" s="404">
        <v>0</v>
      </c>
      <c r="AL121" s="404">
        <v>0</v>
      </c>
      <c r="AM121" s="404">
        <v>0</v>
      </c>
      <c r="AN121" s="404">
        <v>0</v>
      </c>
      <c r="AO121" s="404">
        <v>0</v>
      </c>
      <c r="AP121" s="404">
        <v>0</v>
      </c>
      <c r="AQ121" s="404">
        <v>0</v>
      </c>
      <c r="AR121" s="404">
        <v>0</v>
      </c>
      <c r="AS121" s="404">
        <v>0</v>
      </c>
      <c r="AT121" s="404">
        <v>0</v>
      </c>
      <c r="AU121" s="404">
        <v>0</v>
      </c>
      <c r="AV121" s="404">
        <v>0</v>
      </c>
      <c r="AW121" s="404">
        <v>0</v>
      </c>
      <c r="AX121" s="404">
        <v>0</v>
      </c>
      <c r="AY121" s="404">
        <v>0</v>
      </c>
      <c r="AZ121" s="404">
        <v>9663095</v>
      </c>
      <c r="BA121" s="404">
        <v>0</v>
      </c>
      <c r="BB121" s="404">
        <v>0</v>
      </c>
      <c r="BC121" s="404">
        <v>0</v>
      </c>
      <c r="BD121" s="404">
        <v>0</v>
      </c>
      <c r="BE121" s="404">
        <v>0</v>
      </c>
      <c r="BF121" s="404">
        <v>13894</v>
      </c>
      <c r="BG121" s="404">
        <v>0</v>
      </c>
      <c r="BH121" s="404">
        <v>0</v>
      </c>
      <c r="BI121" s="404">
        <v>4679653</v>
      </c>
      <c r="BJ121" s="404">
        <v>0</v>
      </c>
      <c r="BK121" s="404">
        <v>0</v>
      </c>
      <c r="BL121" s="404">
        <v>0</v>
      </c>
      <c r="BM121" s="404">
        <v>1197019</v>
      </c>
      <c r="BN121" s="404">
        <v>0</v>
      </c>
      <c r="BO121" s="404">
        <v>0</v>
      </c>
      <c r="BP121" s="404">
        <v>0</v>
      </c>
      <c r="BQ121" s="404">
        <v>0</v>
      </c>
      <c r="BR121" s="404">
        <v>0</v>
      </c>
      <c r="BS121" s="404">
        <v>0</v>
      </c>
      <c r="BT121" s="404">
        <v>0</v>
      </c>
      <c r="BU121" s="404">
        <v>0</v>
      </c>
      <c r="BV121" s="404">
        <v>0</v>
      </c>
      <c r="BW121" s="404">
        <v>0</v>
      </c>
      <c r="BX121" s="404">
        <v>0</v>
      </c>
      <c r="BY121" s="404">
        <v>0</v>
      </c>
      <c r="BZ121" s="404">
        <v>0</v>
      </c>
      <c r="CA121" s="404">
        <v>0</v>
      </c>
      <c r="CB121" s="404">
        <v>0</v>
      </c>
      <c r="CC121" s="404">
        <v>0</v>
      </c>
      <c r="CD121" s="404">
        <v>37622418</v>
      </c>
      <c r="CE121" s="404">
        <v>0</v>
      </c>
      <c r="CF121" s="404">
        <v>1346432</v>
      </c>
      <c r="CG121" s="404">
        <v>0</v>
      </c>
      <c r="CH121" s="404">
        <v>0</v>
      </c>
      <c r="CI121" s="404">
        <v>0</v>
      </c>
      <c r="CJ121" s="404">
        <v>1927310</v>
      </c>
      <c r="CK121" s="404">
        <v>0</v>
      </c>
      <c r="CL121" s="404">
        <v>0</v>
      </c>
      <c r="CM121" s="404">
        <v>0</v>
      </c>
      <c r="CN121" s="404">
        <v>0</v>
      </c>
      <c r="CO121" s="404">
        <v>0</v>
      </c>
      <c r="CP121" s="404">
        <v>0</v>
      </c>
      <c r="CQ121" s="404">
        <v>0</v>
      </c>
      <c r="CR121" s="404">
        <v>0</v>
      </c>
    </row>
    <row r="122" spans="1:96" s="404" customFormat="1" x14ac:dyDescent="0.3">
      <c r="A122" s="404">
        <v>361</v>
      </c>
      <c r="B122" s="405">
        <v>361</v>
      </c>
      <c r="C122" s="404">
        <v>361</v>
      </c>
      <c r="D122" s="404" t="s">
        <v>106</v>
      </c>
      <c r="E122" s="404" t="s">
        <v>438</v>
      </c>
      <c r="F122" s="404">
        <v>0</v>
      </c>
      <c r="G122" s="404">
        <v>0</v>
      </c>
      <c r="H122" s="404">
        <v>0</v>
      </c>
      <c r="I122" s="404">
        <v>0</v>
      </c>
      <c r="J122" s="404">
        <v>3609913</v>
      </c>
      <c r="K122" s="404">
        <v>0</v>
      </c>
      <c r="L122" s="404">
        <v>41069223</v>
      </c>
      <c r="M122" s="404">
        <v>0</v>
      </c>
      <c r="N122" s="404">
        <v>0</v>
      </c>
      <c r="O122" s="404">
        <v>0</v>
      </c>
      <c r="P122" s="404">
        <v>0</v>
      </c>
      <c r="Q122" s="404">
        <v>0</v>
      </c>
      <c r="R122" s="404">
        <v>0</v>
      </c>
      <c r="S122" s="404">
        <v>0</v>
      </c>
      <c r="T122" s="404">
        <v>0</v>
      </c>
      <c r="U122" s="404">
        <v>0</v>
      </c>
      <c r="V122" s="404">
        <v>0</v>
      </c>
      <c r="W122" s="404">
        <v>0</v>
      </c>
      <c r="X122" s="404">
        <v>0</v>
      </c>
      <c r="Y122" s="404">
        <v>0</v>
      </c>
      <c r="Z122" s="404">
        <v>0</v>
      </c>
      <c r="AA122" s="404">
        <v>0</v>
      </c>
      <c r="AB122" s="404">
        <v>10379467</v>
      </c>
      <c r="AC122" s="404">
        <v>0</v>
      </c>
      <c r="AD122" s="404">
        <v>0</v>
      </c>
      <c r="AE122" s="404">
        <v>0</v>
      </c>
      <c r="AF122" s="404">
        <v>0</v>
      </c>
      <c r="AG122" s="404">
        <v>0</v>
      </c>
      <c r="AH122" s="404">
        <v>0</v>
      </c>
      <c r="AI122" s="404">
        <v>0</v>
      </c>
      <c r="AJ122" s="404">
        <v>0</v>
      </c>
      <c r="AK122" s="404">
        <v>0</v>
      </c>
      <c r="AL122" s="404">
        <v>0</v>
      </c>
      <c r="AM122" s="404">
        <v>0</v>
      </c>
      <c r="AN122" s="404">
        <v>0</v>
      </c>
      <c r="AO122" s="404">
        <v>0</v>
      </c>
      <c r="AP122" s="404">
        <v>0</v>
      </c>
      <c r="AQ122" s="404">
        <v>0</v>
      </c>
      <c r="AR122" s="404">
        <v>0</v>
      </c>
      <c r="AS122" s="404">
        <v>0</v>
      </c>
      <c r="AT122" s="404">
        <v>0</v>
      </c>
      <c r="AU122" s="404">
        <v>0</v>
      </c>
      <c r="AV122" s="404">
        <v>0</v>
      </c>
      <c r="AW122" s="404">
        <v>0</v>
      </c>
      <c r="AX122" s="404">
        <v>0</v>
      </c>
      <c r="AY122" s="404">
        <v>0</v>
      </c>
      <c r="AZ122" s="404">
        <v>3801929</v>
      </c>
      <c r="BA122" s="404">
        <v>0</v>
      </c>
      <c r="BB122" s="404">
        <v>0</v>
      </c>
      <c r="BC122" s="404">
        <v>0</v>
      </c>
      <c r="BD122" s="404">
        <v>0</v>
      </c>
      <c r="BE122" s="404">
        <v>0</v>
      </c>
      <c r="BF122" s="404">
        <v>430599</v>
      </c>
      <c r="BG122" s="404">
        <v>0</v>
      </c>
      <c r="BH122" s="404">
        <v>0</v>
      </c>
      <c r="BI122" s="404">
        <v>16183340</v>
      </c>
      <c r="BJ122" s="404">
        <v>0</v>
      </c>
      <c r="BK122" s="404">
        <v>0</v>
      </c>
      <c r="BL122" s="404">
        <v>0</v>
      </c>
      <c r="BM122" s="404">
        <v>3770303</v>
      </c>
      <c r="BN122" s="404">
        <v>0</v>
      </c>
      <c r="BO122" s="404">
        <v>0</v>
      </c>
      <c r="BP122" s="404">
        <v>0</v>
      </c>
      <c r="BQ122" s="404">
        <v>0</v>
      </c>
      <c r="BR122" s="404">
        <v>0</v>
      </c>
      <c r="BS122" s="404">
        <v>0</v>
      </c>
      <c r="BT122" s="404">
        <v>0</v>
      </c>
      <c r="BU122" s="404">
        <v>0</v>
      </c>
      <c r="BV122" s="404">
        <v>0</v>
      </c>
      <c r="BW122" s="404">
        <v>0</v>
      </c>
      <c r="BX122" s="404">
        <v>0</v>
      </c>
      <c r="BY122" s="404">
        <v>0</v>
      </c>
      <c r="BZ122" s="404">
        <v>0</v>
      </c>
      <c r="CA122" s="404">
        <v>0</v>
      </c>
      <c r="CB122" s="404">
        <v>0</v>
      </c>
      <c r="CC122" s="404">
        <v>0</v>
      </c>
      <c r="CD122" s="404">
        <v>36517468</v>
      </c>
      <c r="CE122" s="404">
        <v>0</v>
      </c>
      <c r="CF122" s="404">
        <v>3119327</v>
      </c>
      <c r="CG122" s="404">
        <v>0</v>
      </c>
      <c r="CH122" s="404">
        <v>0</v>
      </c>
      <c r="CI122" s="404">
        <v>0</v>
      </c>
      <c r="CJ122" s="404">
        <v>7424873</v>
      </c>
      <c r="CK122" s="404">
        <v>0</v>
      </c>
      <c r="CL122" s="404">
        <v>0</v>
      </c>
      <c r="CM122" s="404">
        <v>0</v>
      </c>
      <c r="CN122" s="404">
        <v>0</v>
      </c>
      <c r="CO122" s="404">
        <v>0</v>
      </c>
      <c r="CP122" s="404">
        <v>0</v>
      </c>
      <c r="CQ122" s="404">
        <v>0</v>
      </c>
      <c r="CR122" s="404">
        <v>0</v>
      </c>
    </row>
    <row r="123" spans="1:96" s="404" customFormat="1" x14ac:dyDescent="0.3">
      <c r="A123" s="404">
        <v>362</v>
      </c>
      <c r="B123" s="405">
        <v>362</v>
      </c>
      <c r="C123" s="404">
        <v>362</v>
      </c>
      <c r="D123" s="404" t="s">
        <v>107</v>
      </c>
      <c r="E123" s="404" t="s">
        <v>439</v>
      </c>
      <c r="F123" s="404">
        <v>0</v>
      </c>
      <c r="G123" s="404">
        <v>0</v>
      </c>
      <c r="H123" s="404">
        <v>0</v>
      </c>
      <c r="I123" s="404">
        <v>0</v>
      </c>
      <c r="J123" s="404">
        <v>4724274</v>
      </c>
      <c r="K123" s="404">
        <v>0</v>
      </c>
      <c r="L123" s="404">
        <v>70650926</v>
      </c>
      <c r="M123" s="404">
        <v>0</v>
      </c>
      <c r="N123" s="404">
        <v>0</v>
      </c>
      <c r="O123" s="404">
        <v>0</v>
      </c>
      <c r="P123" s="404">
        <v>0</v>
      </c>
      <c r="Q123" s="404">
        <v>0</v>
      </c>
      <c r="R123" s="404">
        <v>0</v>
      </c>
      <c r="S123" s="404">
        <v>0</v>
      </c>
      <c r="T123" s="404">
        <v>0</v>
      </c>
      <c r="U123" s="404">
        <v>0</v>
      </c>
      <c r="V123" s="404">
        <v>0</v>
      </c>
      <c r="W123" s="404">
        <v>0</v>
      </c>
      <c r="X123" s="404">
        <v>0</v>
      </c>
      <c r="Y123" s="404">
        <v>0</v>
      </c>
      <c r="Z123" s="404">
        <v>0</v>
      </c>
      <c r="AA123" s="404">
        <v>0</v>
      </c>
      <c r="AB123" s="404">
        <v>28520616</v>
      </c>
      <c r="AC123" s="404">
        <v>0</v>
      </c>
      <c r="AD123" s="404">
        <v>0</v>
      </c>
      <c r="AE123" s="404">
        <v>0</v>
      </c>
      <c r="AF123" s="404">
        <v>0</v>
      </c>
      <c r="AG123" s="404">
        <v>0</v>
      </c>
      <c r="AH123" s="404">
        <v>0</v>
      </c>
      <c r="AI123" s="404">
        <v>0</v>
      </c>
      <c r="AJ123" s="404">
        <v>0</v>
      </c>
      <c r="AK123" s="404">
        <v>0</v>
      </c>
      <c r="AL123" s="404">
        <v>0</v>
      </c>
      <c r="AM123" s="404">
        <v>0</v>
      </c>
      <c r="AN123" s="404">
        <v>0</v>
      </c>
      <c r="AO123" s="404">
        <v>0</v>
      </c>
      <c r="AP123" s="404">
        <v>0</v>
      </c>
      <c r="AQ123" s="404">
        <v>0</v>
      </c>
      <c r="AR123" s="404">
        <v>0</v>
      </c>
      <c r="AS123" s="404">
        <v>0</v>
      </c>
      <c r="AT123" s="404">
        <v>0</v>
      </c>
      <c r="AU123" s="404">
        <v>0</v>
      </c>
      <c r="AV123" s="404">
        <v>0</v>
      </c>
      <c r="AW123" s="404">
        <v>0</v>
      </c>
      <c r="AX123" s="404">
        <v>0</v>
      </c>
      <c r="AY123" s="404">
        <v>0</v>
      </c>
      <c r="AZ123" s="404">
        <v>21198650</v>
      </c>
      <c r="BA123" s="404">
        <v>0</v>
      </c>
      <c r="BB123" s="404">
        <v>0</v>
      </c>
      <c r="BC123" s="404">
        <v>0</v>
      </c>
      <c r="BD123" s="404">
        <v>0</v>
      </c>
      <c r="BE123" s="404">
        <v>0</v>
      </c>
      <c r="BF123" s="404">
        <v>512504</v>
      </c>
      <c r="BG123" s="404">
        <v>0</v>
      </c>
      <c r="BH123" s="404">
        <v>0</v>
      </c>
      <c r="BI123" s="404">
        <v>49400236</v>
      </c>
      <c r="BJ123" s="404">
        <v>0</v>
      </c>
      <c r="BK123" s="404">
        <v>0</v>
      </c>
      <c r="BL123" s="404">
        <v>0</v>
      </c>
      <c r="BM123" s="404">
        <v>6345844</v>
      </c>
      <c r="BN123" s="404">
        <v>0</v>
      </c>
      <c r="BO123" s="404">
        <v>0</v>
      </c>
      <c r="BP123" s="404">
        <v>0</v>
      </c>
      <c r="BQ123" s="404">
        <v>0</v>
      </c>
      <c r="BR123" s="404">
        <v>0</v>
      </c>
      <c r="BS123" s="404">
        <v>0</v>
      </c>
      <c r="BT123" s="404">
        <v>0</v>
      </c>
      <c r="BU123" s="404">
        <v>0</v>
      </c>
      <c r="BV123" s="404">
        <v>0</v>
      </c>
      <c r="BW123" s="404">
        <v>0</v>
      </c>
      <c r="BX123" s="404">
        <v>0</v>
      </c>
      <c r="BY123" s="404">
        <v>0</v>
      </c>
      <c r="BZ123" s="404">
        <v>0</v>
      </c>
      <c r="CA123" s="404">
        <v>0</v>
      </c>
      <c r="CB123" s="404">
        <v>0</v>
      </c>
      <c r="CC123" s="404">
        <v>0</v>
      </c>
      <c r="CD123" s="404">
        <v>106105018</v>
      </c>
      <c r="CE123" s="404">
        <v>0</v>
      </c>
      <c r="CF123" s="404">
        <v>5407455</v>
      </c>
      <c r="CG123" s="404">
        <v>0</v>
      </c>
      <c r="CH123" s="404">
        <v>0</v>
      </c>
      <c r="CI123" s="404">
        <v>0</v>
      </c>
      <c r="CJ123" s="404">
        <v>11837739</v>
      </c>
      <c r="CK123" s="404">
        <v>0</v>
      </c>
      <c r="CL123" s="404">
        <v>0</v>
      </c>
      <c r="CM123" s="404">
        <v>0</v>
      </c>
      <c r="CN123" s="404">
        <v>0</v>
      </c>
      <c r="CO123" s="404">
        <v>0</v>
      </c>
      <c r="CP123" s="404">
        <v>0</v>
      </c>
      <c r="CQ123" s="404">
        <v>0</v>
      </c>
      <c r="CR123" s="404">
        <v>0</v>
      </c>
    </row>
    <row r="124" spans="1:96" s="404" customFormat="1" x14ac:dyDescent="0.3">
      <c r="A124" s="404">
        <v>363</v>
      </c>
      <c r="B124" s="405">
        <v>363</v>
      </c>
      <c r="C124" s="404">
        <v>363</v>
      </c>
      <c r="D124" s="404" t="s">
        <v>242</v>
      </c>
      <c r="E124" s="404" t="s">
        <v>440</v>
      </c>
      <c r="F124" s="404">
        <v>0</v>
      </c>
      <c r="G124" s="404">
        <v>0</v>
      </c>
      <c r="H124" s="404">
        <v>0</v>
      </c>
      <c r="I124" s="404">
        <v>0</v>
      </c>
      <c r="J124" s="404">
        <v>49590</v>
      </c>
      <c r="K124" s="404">
        <v>0</v>
      </c>
      <c r="L124" s="404">
        <v>7771591</v>
      </c>
      <c r="M124" s="404">
        <v>0</v>
      </c>
      <c r="N124" s="404">
        <v>0</v>
      </c>
      <c r="O124" s="404">
        <v>0</v>
      </c>
      <c r="P124" s="404">
        <v>0</v>
      </c>
      <c r="Q124" s="404">
        <v>0</v>
      </c>
      <c r="R124" s="404">
        <v>0</v>
      </c>
      <c r="S124" s="404">
        <v>0</v>
      </c>
      <c r="T124" s="404">
        <v>0</v>
      </c>
      <c r="U124" s="404">
        <v>0</v>
      </c>
      <c r="V124" s="404">
        <v>0</v>
      </c>
      <c r="W124" s="404">
        <v>0</v>
      </c>
      <c r="X124" s="404">
        <v>0</v>
      </c>
      <c r="Y124" s="404">
        <v>0</v>
      </c>
      <c r="Z124" s="404">
        <v>0</v>
      </c>
      <c r="AA124" s="404">
        <v>0</v>
      </c>
      <c r="AB124" s="404">
        <v>257172</v>
      </c>
      <c r="AC124" s="404">
        <v>0</v>
      </c>
      <c r="AD124" s="404">
        <v>0</v>
      </c>
      <c r="AE124" s="404">
        <v>0</v>
      </c>
      <c r="AF124" s="404">
        <v>0</v>
      </c>
      <c r="AG124" s="404">
        <v>0</v>
      </c>
      <c r="AH124" s="404">
        <v>0</v>
      </c>
      <c r="AI124" s="404">
        <v>0</v>
      </c>
      <c r="AJ124" s="404">
        <v>0</v>
      </c>
      <c r="AK124" s="404">
        <v>0</v>
      </c>
      <c r="AL124" s="404">
        <v>0</v>
      </c>
      <c r="AM124" s="404">
        <v>0</v>
      </c>
      <c r="AN124" s="404">
        <v>0</v>
      </c>
      <c r="AO124" s="404">
        <v>0</v>
      </c>
      <c r="AP124" s="404">
        <v>0</v>
      </c>
      <c r="AQ124" s="404">
        <v>0</v>
      </c>
      <c r="AR124" s="404">
        <v>0</v>
      </c>
      <c r="AS124" s="404">
        <v>0</v>
      </c>
      <c r="AT124" s="404">
        <v>0</v>
      </c>
      <c r="AU124" s="404">
        <v>0</v>
      </c>
      <c r="AV124" s="404">
        <v>0</v>
      </c>
      <c r="AW124" s="404">
        <v>0</v>
      </c>
      <c r="AX124" s="404">
        <v>0</v>
      </c>
      <c r="AY124" s="404">
        <v>0</v>
      </c>
      <c r="AZ124" s="404">
        <v>91934</v>
      </c>
      <c r="BA124" s="404">
        <v>0</v>
      </c>
      <c r="BB124" s="404">
        <v>0</v>
      </c>
      <c r="BC124" s="404">
        <v>0</v>
      </c>
      <c r="BD124" s="404">
        <v>0</v>
      </c>
      <c r="BE124" s="404">
        <v>0</v>
      </c>
      <c r="BF124" s="404">
        <v>1830</v>
      </c>
      <c r="BG124" s="404">
        <v>0</v>
      </c>
      <c r="BH124" s="404">
        <v>0</v>
      </c>
      <c r="BI124" s="404">
        <v>605029</v>
      </c>
      <c r="BJ124" s="404">
        <v>0</v>
      </c>
      <c r="BK124" s="404">
        <v>0</v>
      </c>
      <c r="BL124" s="404">
        <v>0</v>
      </c>
      <c r="BM124" s="404">
        <v>34319</v>
      </c>
      <c r="BN124" s="404">
        <v>0</v>
      </c>
      <c r="BO124" s="404">
        <v>0</v>
      </c>
      <c r="BP124" s="404">
        <v>0</v>
      </c>
      <c r="BQ124" s="404">
        <v>0</v>
      </c>
      <c r="BR124" s="404">
        <v>0</v>
      </c>
      <c r="BS124" s="404">
        <v>0</v>
      </c>
      <c r="BT124" s="404">
        <v>0</v>
      </c>
      <c r="BU124" s="404">
        <v>0</v>
      </c>
      <c r="BV124" s="404">
        <v>0</v>
      </c>
      <c r="BW124" s="404">
        <v>0</v>
      </c>
      <c r="BX124" s="404">
        <v>0</v>
      </c>
      <c r="BY124" s="404">
        <v>0</v>
      </c>
      <c r="BZ124" s="404">
        <v>0</v>
      </c>
      <c r="CA124" s="404">
        <v>0</v>
      </c>
      <c r="CB124" s="404">
        <v>0</v>
      </c>
      <c r="CC124" s="404">
        <v>0</v>
      </c>
      <c r="CD124" s="404">
        <v>961759</v>
      </c>
      <c r="CE124" s="404">
        <v>0</v>
      </c>
      <c r="CF124" s="404">
        <v>140260</v>
      </c>
      <c r="CG124" s="404">
        <v>0</v>
      </c>
      <c r="CH124" s="404">
        <v>0</v>
      </c>
      <c r="CI124" s="404">
        <v>0</v>
      </c>
      <c r="CJ124" s="404">
        <v>84114</v>
      </c>
      <c r="CK124" s="404">
        <v>0</v>
      </c>
      <c r="CL124" s="404">
        <v>0</v>
      </c>
      <c r="CM124" s="404">
        <v>0</v>
      </c>
      <c r="CN124" s="404">
        <v>0</v>
      </c>
      <c r="CO124" s="404">
        <v>0</v>
      </c>
      <c r="CP124" s="404">
        <v>0</v>
      </c>
      <c r="CQ124" s="404">
        <v>0</v>
      </c>
      <c r="CR124" s="404">
        <v>0</v>
      </c>
    </row>
    <row r="125" spans="1:96" s="404" customFormat="1" x14ac:dyDescent="0.3">
      <c r="A125" s="404">
        <v>364</v>
      </c>
      <c r="B125" s="405">
        <v>364</v>
      </c>
      <c r="C125" s="404">
        <v>364</v>
      </c>
      <c r="D125" s="404" t="s">
        <v>243</v>
      </c>
      <c r="E125" s="404" t="s">
        <v>441</v>
      </c>
      <c r="F125" s="404">
        <v>0</v>
      </c>
      <c r="G125" s="404">
        <v>0</v>
      </c>
      <c r="H125" s="404">
        <v>0</v>
      </c>
      <c r="I125" s="404">
        <v>0</v>
      </c>
      <c r="J125" s="404">
        <v>0</v>
      </c>
      <c r="K125" s="404">
        <v>0</v>
      </c>
      <c r="L125" s="404">
        <v>0</v>
      </c>
      <c r="M125" s="404">
        <v>0</v>
      </c>
      <c r="N125" s="404">
        <v>0</v>
      </c>
      <c r="O125" s="404">
        <v>0</v>
      </c>
      <c r="P125" s="404">
        <v>0</v>
      </c>
      <c r="Q125" s="404">
        <v>0</v>
      </c>
      <c r="R125" s="404">
        <v>0</v>
      </c>
      <c r="S125" s="404">
        <v>0</v>
      </c>
      <c r="T125" s="404">
        <v>0</v>
      </c>
      <c r="U125" s="404">
        <v>0</v>
      </c>
      <c r="V125" s="404">
        <v>0</v>
      </c>
      <c r="W125" s="404">
        <v>0</v>
      </c>
      <c r="X125" s="404">
        <v>0</v>
      </c>
      <c r="Y125" s="404">
        <v>0</v>
      </c>
      <c r="Z125" s="404">
        <v>0</v>
      </c>
      <c r="AA125" s="404">
        <v>0</v>
      </c>
      <c r="AB125" s="404">
        <v>0</v>
      </c>
      <c r="AC125" s="404">
        <v>0</v>
      </c>
      <c r="AD125" s="404">
        <v>0</v>
      </c>
      <c r="AE125" s="404">
        <v>0</v>
      </c>
      <c r="AF125" s="404">
        <v>0</v>
      </c>
      <c r="AG125" s="404">
        <v>0</v>
      </c>
      <c r="AH125" s="404">
        <v>0</v>
      </c>
      <c r="AI125" s="404">
        <v>0</v>
      </c>
      <c r="AJ125" s="404">
        <v>0</v>
      </c>
      <c r="AK125" s="404">
        <v>0</v>
      </c>
      <c r="AL125" s="404">
        <v>0</v>
      </c>
      <c r="AM125" s="404">
        <v>0</v>
      </c>
      <c r="AN125" s="404">
        <v>0</v>
      </c>
      <c r="AO125" s="404">
        <v>0</v>
      </c>
      <c r="AP125" s="404">
        <v>0</v>
      </c>
      <c r="AQ125" s="404">
        <v>0</v>
      </c>
      <c r="AR125" s="404">
        <v>0</v>
      </c>
      <c r="AS125" s="404">
        <v>0</v>
      </c>
      <c r="AT125" s="404">
        <v>0</v>
      </c>
      <c r="AU125" s="404">
        <v>0</v>
      </c>
      <c r="AV125" s="404">
        <v>0</v>
      </c>
      <c r="AW125" s="404">
        <v>0</v>
      </c>
      <c r="AX125" s="404">
        <v>0</v>
      </c>
      <c r="AY125" s="404">
        <v>0</v>
      </c>
      <c r="AZ125" s="404">
        <v>125086</v>
      </c>
      <c r="BA125" s="404">
        <v>0</v>
      </c>
      <c r="BB125" s="404">
        <v>0</v>
      </c>
      <c r="BC125" s="404">
        <v>0</v>
      </c>
      <c r="BD125" s="404">
        <v>0</v>
      </c>
      <c r="BE125" s="404">
        <v>0</v>
      </c>
      <c r="BF125" s="404">
        <v>0</v>
      </c>
      <c r="BG125" s="404">
        <v>0</v>
      </c>
      <c r="BH125" s="404">
        <v>0</v>
      </c>
      <c r="BI125" s="404">
        <v>270177</v>
      </c>
      <c r="BJ125" s="404">
        <v>0</v>
      </c>
      <c r="BK125" s="404">
        <v>0</v>
      </c>
      <c r="BL125" s="404">
        <v>0</v>
      </c>
      <c r="BM125" s="404">
        <v>7900</v>
      </c>
      <c r="BN125" s="404">
        <v>0</v>
      </c>
      <c r="BO125" s="404">
        <v>0</v>
      </c>
      <c r="BP125" s="404">
        <v>0</v>
      </c>
      <c r="BQ125" s="404">
        <v>0</v>
      </c>
      <c r="BR125" s="404">
        <v>0</v>
      </c>
      <c r="BS125" s="404">
        <v>0</v>
      </c>
      <c r="BT125" s="404">
        <v>0</v>
      </c>
      <c r="BU125" s="404">
        <v>0</v>
      </c>
      <c r="BV125" s="404">
        <v>0</v>
      </c>
      <c r="BW125" s="404">
        <v>0</v>
      </c>
      <c r="BX125" s="404">
        <v>0</v>
      </c>
      <c r="BY125" s="404">
        <v>0</v>
      </c>
      <c r="BZ125" s="404">
        <v>0</v>
      </c>
      <c r="CA125" s="404">
        <v>0</v>
      </c>
      <c r="CB125" s="404">
        <v>0</v>
      </c>
      <c r="CC125" s="404">
        <v>0</v>
      </c>
      <c r="CD125" s="404">
        <v>1933730</v>
      </c>
      <c r="CE125" s="404">
        <v>0</v>
      </c>
      <c r="CF125" s="404">
        <v>0</v>
      </c>
      <c r="CG125" s="404">
        <v>0</v>
      </c>
      <c r="CH125" s="404">
        <v>0</v>
      </c>
      <c r="CI125" s="404">
        <v>0</v>
      </c>
      <c r="CJ125" s="404">
        <v>29873</v>
      </c>
      <c r="CK125" s="404">
        <v>0</v>
      </c>
      <c r="CL125" s="404">
        <v>0</v>
      </c>
      <c r="CM125" s="404">
        <v>0</v>
      </c>
      <c r="CN125" s="404">
        <v>0</v>
      </c>
      <c r="CO125" s="404">
        <v>0</v>
      </c>
      <c r="CP125" s="404">
        <v>0</v>
      </c>
      <c r="CQ125" s="404">
        <v>0</v>
      </c>
      <c r="CR125" s="404">
        <v>0</v>
      </c>
    </row>
    <row r="126" spans="1:96" s="404" customFormat="1" x14ac:dyDescent="0.3">
      <c r="A126" s="404">
        <v>365</v>
      </c>
      <c r="B126" s="405">
        <v>365</v>
      </c>
      <c r="C126" s="404">
        <v>365</v>
      </c>
      <c r="D126" s="404" t="s">
        <v>245</v>
      </c>
      <c r="E126" s="404" t="s">
        <v>442</v>
      </c>
      <c r="F126" s="404">
        <v>0</v>
      </c>
      <c r="G126" s="404">
        <v>0</v>
      </c>
      <c r="H126" s="404">
        <v>0</v>
      </c>
      <c r="I126" s="404">
        <v>0</v>
      </c>
      <c r="J126" s="404">
        <v>0</v>
      </c>
      <c r="K126" s="404">
        <v>0</v>
      </c>
      <c r="L126" s="404">
        <v>0</v>
      </c>
      <c r="M126" s="404">
        <v>0</v>
      </c>
      <c r="N126" s="404">
        <v>0</v>
      </c>
      <c r="O126" s="404">
        <v>0</v>
      </c>
      <c r="P126" s="404">
        <v>0</v>
      </c>
      <c r="Q126" s="404">
        <v>0</v>
      </c>
      <c r="R126" s="404">
        <v>0</v>
      </c>
      <c r="S126" s="404">
        <v>0</v>
      </c>
      <c r="T126" s="404">
        <v>0</v>
      </c>
      <c r="U126" s="404">
        <v>0</v>
      </c>
      <c r="V126" s="404">
        <v>0</v>
      </c>
      <c r="W126" s="404">
        <v>0</v>
      </c>
      <c r="X126" s="404">
        <v>0</v>
      </c>
      <c r="Y126" s="404">
        <v>0</v>
      </c>
      <c r="Z126" s="404">
        <v>0</v>
      </c>
      <c r="AA126" s="404">
        <v>0</v>
      </c>
      <c r="AB126" s="404">
        <v>0</v>
      </c>
      <c r="AC126" s="404">
        <v>0</v>
      </c>
      <c r="AD126" s="404">
        <v>0</v>
      </c>
      <c r="AE126" s="404">
        <v>0</v>
      </c>
      <c r="AF126" s="404">
        <v>0</v>
      </c>
      <c r="AG126" s="404">
        <v>0</v>
      </c>
      <c r="AH126" s="404">
        <v>0</v>
      </c>
      <c r="AI126" s="404">
        <v>0</v>
      </c>
      <c r="AJ126" s="404">
        <v>0</v>
      </c>
      <c r="AK126" s="404">
        <v>0</v>
      </c>
      <c r="AL126" s="404">
        <v>0</v>
      </c>
      <c r="AM126" s="404">
        <v>0</v>
      </c>
      <c r="AN126" s="404">
        <v>0</v>
      </c>
      <c r="AO126" s="404">
        <v>0</v>
      </c>
      <c r="AP126" s="404">
        <v>0</v>
      </c>
      <c r="AQ126" s="404">
        <v>0</v>
      </c>
      <c r="AR126" s="404">
        <v>0</v>
      </c>
      <c r="AS126" s="404">
        <v>0</v>
      </c>
      <c r="AT126" s="404">
        <v>0</v>
      </c>
      <c r="AU126" s="404">
        <v>0</v>
      </c>
      <c r="AV126" s="404">
        <v>0</v>
      </c>
      <c r="AW126" s="404">
        <v>0</v>
      </c>
      <c r="AX126" s="404">
        <v>0</v>
      </c>
      <c r="AY126" s="404">
        <v>0</v>
      </c>
      <c r="AZ126" s="404">
        <v>0</v>
      </c>
      <c r="BA126" s="404">
        <v>0</v>
      </c>
      <c r="BB126" s="404">
        <v>0</v>
      </c>
      <c r="BC126" s="404">
        <v>0</v>
      </c>
      <c r="BD126" s="404">
        <v>0</v>
      </c>
      <c r="BE126" s="404">
        <v>0</v>
      </c>
      <c r="BF126" s="404">
        <v>0</v>
      </c>
      <c r="BG126" s="404">
        <v>0</v>
      </c>
      <c r="BH126" s="404">
        <v>0</v>
      </c>
      <c r="BI126" s="404">
        <v>0</v>
      </c>
      <c r="BJ126" s="404">
        <v>0</v>
      </c>
      <c r="BK126" s="404">
        <v>0</v>
      </c>
      <c r="BL126" s="404">
        <v>0</v>
      </c>
      <c r="BM126" s="404">
        <v>0</v>
      </c>
      <c r="BN126" s="404">
        <v>0</v>
      </c>
      <c r="BO126" s="404">
        <v>0</v>
      </c>
      <c r="BP126" s="404">
        <v>0</v>
      </c>
      <c r="BQ126" s="404">
        <v>0</v>
      </c>
      <c r="BR126" s="404">
        <v>0</v>
      </c>
      <c r="BS126" s="404">
        <v>0</v>
      </c>
      <c r="BT126" s="404">
        <v>0</v>
      </c>
      <c r="BU126" s="404">
        <v>0</v>
      </c>
      <c r="BV126" s="404">
        <v>0</v>
      </c>
      <c r="BW126" s="404">
        <v>0</v>
      </c>
      <c r="BX126" s="404">
        <v>0</v>
      </c>
      <c r="BY126" s="404">
        <v>0</v>
      </c>
      <c r="BZ126" s="404">
        <v>0</v>
      </c>
      <c r="CA126" s="404">
        <v>0</v>
      </c>
      <c r="CB126" s="404">
        <v>0</v>
      </c>
      <c r="CC126" s="404">
        <v>0</v>
      </c>
      <c r="CD126" s="404">
        <v>0</v>
      </c>
      <c r="CE126" s="404">
        <v>0</v>
      </c>
      <c r="CF126" s="404">
        <v>0</v>
      </c>
      <c r="CG126" s="404">
        <v>0</v>
      </c>
      <c r="CH126" s="404">
        <v>0</v>
      </c>
      <c r="CI126" s="404">
        <v>0</v>
      </c>
      <c r="CJ126" s="404">
        <v>0</v>
      </c>
      <c r="CK126" s="404">
        <v>0</v>
      </c>
      <c r="CL126" s="404">
        <v>0</v>
      </c>
      <c r="CM126" s="404">
        <v>0</v>
      </c>
      <c r="CN126" s="404">
        <v>0</v>
      </c>
      <c r="CO126" s="404">
        <v>0</v>
      </c>
      <c r="CP126" s="404">
        <v>0</v>
      </c>
      <c r="CQ126" s="404">
        <v>0</v>
      </c>
      <c r="CR126" s="404">
        <v>0</v>
      </c>
    </row>
    <row r="127" spans="1:96" s="404" customFormat="1" x14ac:dyDescent="0.3">
      <c r="A127" s="404">
        <v>366</v>
      </c>
      <c r="B127" s="405">
        <v>366</v>
      </c>
      <c r="C127" s="404">
        <v>366</v>
      </c>
      <c r="D127" s="404" t="s">
        <v>535</v>
      </c>
      <c r="E127" s="404" t="s">
        <v>443</v>
      </c>
      <c r="F127" s="404">
        <v>0</v>
      </c>
      <c r="G127" s="404">
        <v>0</v>
      </c>
      <c r="H127" s="404">
        <v>0</v>
      </c>
      <c r="I127" s="404">
        <v>0</v>
      </c>
      <c r="J127" s="404">
        <v>290000</v>
      </c>
      <c r="K127" s="404">
        <v>0</v>
      </c>
      <c r="L127" s="404">
        <v>113289</v>
      </c>
      <c r="M127" s="404">
        <v>0</v>
      </c>
      <c r="N127" s="404">
        <v>0</v>
      </c>
      <c r="O127" s="404">
        <v>0</v>
      </c>
      <c r="P127" s="404">
        <v>0</v>
      </c>
      <c r="Q127" s="404">
        <v>0</v>
      </c>
      <c r="R127" s="404">
        <v>0</v>
      </c>
      <c r="S127" s="404">
        <v>0</v>
      </c>
      <c r="T127" s="404">
        <v>0</v>
      </c>
      <c r="U127" s="404">
        <v>0</v>
      </c>
      <c r="V127" s="404">
        <v>0</v>
      </c>
      <c r="W127" s="404">
        <v>0</v>
      </c>
      <c r="X127" s="404">
        <v>0</v>
      </c>
      <c r="Y127" s="404">
        <v>0</v>
      </c>
      <c r="Z127" s="404">
        <v>0</v>
      </c>
      <c r="AA127" s="404">
        <v>0</v>
      </c>
      <c r="AB127" s="404">
        <v>1768044</v>
      </c>
      <c r="AC127" s="404">
        <v>0</v>
      </c>
      <c r="AD127" s="404">
        <v>0</v>
      </c>
      <c r="AE127" s="404">
        <v>0</v>
      </c>
      <c r="AF127" s="404">
        <v>0</v>
      </c>
      <c r="AG127" s="404">
        <v>0</v>
      </c>
      <c r="AH127" s="404">
        <v>0</v>
      </c>
      <c r="AI127" s="404">
        <v>0</v>
      </c>
      <c r="AJ127" s="404">
        <v>0</v>
      </c>
      <c r="AK127" s="404">
        <v>0</v>
      </c>
      <c r="AL127" s="404">
        <v>0</v>
      </c>
      <c r="AM127" s="404">
        <v>0</v>
      </c>
      <c r="AN127" s="404">
        <v>0</v>
      </c>
      <c r="AO127" s="404">
        <v>0</v>
      </c>
      <c r="AP127" s="404">
        <v>0</v>
      </c>
      <c r="AQ127" s="404">
        <v>0</v>
      </c>
      <c r="AR127" s="404">
        <v>0</v>
      </c>
      <c r="AS127" s="404">
        <v>0</v>
      </c>
      <c r="AT127" s="404">
        <v>0</v>
      </c>
      <c r="AU127" s="404">
        <v>0</v>
      </c>
      <c r="AV127" s="404">
        <v>0</v>
      </c>
      <c r="AW127" s="404">
        <v>0</v>
      </c>
      <c r="AX127" s="404">
        <v>0</v>
      </c>
      <c r="AY127" s="404">
        <v>0</v>
      </c>
      <c r="AZ127" s="404">
        <v>0</v>
      </c>
      <c r="BA127" s="404">
        <v>0</v>
      </c>
      <c r="BB127" s="404">
        <v>0</v>
      </c>
      <c r="BC127" s="404">
        <v>0</v>
      </c>
      <c r="BD127" s="404">
        <v>0</v>
      </c>
      <c r="BE127" s="404">
        <v>0</v>
      </c>
      <c r="BF127" s="404">
        <v>0</v>
      </c>
      <c r="BG127" s="404">
        <v>0</v>
      </c>
      <c r="BH127" s="404">
        <v>0</v>
      </c>
      <c r="BI127" s="404">
        <v>2628108</v>
      </c>
      <c r="BJ127" s="404">
        <v>0</v>
      </c>
      <c r="BK127" s="404">
        <v>0</v>
      </c>
      <c r="BL127" s="404">
        <v>0</v>
      </c>
      <c r="BM127" s="404">
        <v>1275600</v>
      </c>
      <c r="BN127" s="404">
        <v>0</v>
      </c>
      <c r="BO127" s="404">
        <v>0</v>
      </c>
      <c r="BP127" s="404">
        <v>0</v>
      </c>
      <c r="BQ127" s="404">
        <v>0</v>
      </c>
      <c r="BR127" s="404">
        <v>0</v>
      </c>
      <c r="BS127" s="404">
        <v>0</v>
      </c>
      <c r="BT127" s="404">
        <v>0</v>
      </c>
      <c r="BU127" s="404">
        <v>0</v>
      </c>
      <c r="BV127" s="404">
        <v>0</v>
      </c>
      <c r="BW127" s="404">
        <v>0</v>
      </c>
      <c r="BX127" s="404">
        <v>0</v>
      </c>
      <c r="BY127" s="404">
        <v>0</v>
      </c>
      <c r="BZ127" s="404">
        <v>0</v>
      </c>
      <c r="CA127" s="404">
        <v>0</v>
      </c>
      <c r="CB127" s="404">
        <v>0</v>
      </c>
      <c r="CC127" s="404">
        <v>0</v>
      </c>
      <c r="CD127" s="404">
        <v>3387390</v>
      </c>
      <c r="CE127" s="404">
        <v>0</v>
      </c>
      <c r="CF127" s="404">
        <v>1048000</v>
      </c>
      <c r="CG127" s="404">
        <v>0</v>
      </c>
      <c r="CH127" s="404">
        <v>0</v>
      </c>
      <c r="CI127" s="404">
        <v>0</v>
      </c>
      <c r="CJ127" s="404">
        <v>500000</v>
      </c>
      <c r="CK127" s="404">
        <v>0</v>
      </c>
      <c r="CL127" s="404">
        <v>0</v>
      </c>
      <c r="CM127" s="404">
        <v>0</v>
      </c>
      <c r="CN127" s="404">
        <v>0</v>
      </c>
      <c r="CO127" s="404">
        <v>0</v>
      </c>
      <c r="CP127" s="404">
        <v>0</v>
      </c>
      <c r="CQ127" s="404">
        <v>0</v>
      </c>
      <c r="CR127" s="404">
        <v>0</v>
      </c>
    </row>
    <row r="128" spans="1:96" s="404" customFormat="1" x14ac:dyDescent="0.3">
      <c r="A128" s="404">
        <v>367</v>
      </c>
      <c r="B128" s="405"/>
      <c r="C128" s="404">
        <v>367</v>
      </c>
      <c r="D128" s="404" t="s">
        <v>641</v>
      </c>
      <c r="E128" s="404" t="s">
        <v>444</v>
      </c>
    </row>
    <row r="129" spans="1:96" s="404" customFormat="1" x14ac:dyDescent="0.3">
      <c r="A129" s="404">
        <v>368</v>
      </c>
      <c r="B129" s="405">
        <v>368</v>
      </c>
      <c r="C129" s="404">
        <v>368</v>
      </c>
      <c r="D129" s="404" t="s">
        <v>200</v>
      </c>
      <c r="E129" s="404" t="s">
        <v>445</v>
      </c>
      <c r="F129" s="404">
        <v>0</v>
      </c>
      <c r="G129" s="404">
        <v>0</v>
      </c>
      <c r="H129" s="404">
        <v>0</v>
      </c>
      <c r="I129" s="404">
        <v>0</v>
      </c>
      <c r="J129" s="404">
        <v>0</v>
      </c>
      <c r="K129" s="404">
        <v>3380</v>
      </c>
      <c r="L129" s="404">
        <v>6812</v>
      </c>
      <c r="M129" s="404">
        <v>0</v>
      </c>
      <c r="N129" s="404">
        <v>0</v>
      </c>
      <c r="O129" s="404">
        <v>4313</v>
      </c>
      <c r="P129" s="404">
        <v>0</v>
      </c>
      <c r="Q129" s="404">
        <v>0</v>
      </c>
      <c r="R129" s="404">
        <v>0</v>
      </c>
      <c r="S129" s="404">
        <v>0</v>
      </c>
      <c r="T129" s="404">
        <v>0</v>
      </c>
      <c r="U129" s="404">
        <v>0</v>
      </c>
      <c r="V129" s="404">
        <v>0</v>
      </c>
      <c r="W129" s="404">
        <v>0</v>
      </c>
      <c r="X129" s="404">
        <v>0</v>
      </c>
      <c r="Y129" s="404">
        <v>0</v>
      </c>
      <c r="Z129" s="404">
        <v>0</v>
      </c>
      <c r="AA129" s="404">
        <v>0</v>
      </c>
      <c r="AB129" s="404">
        <v>13995</v>
      </c>
      <c r="AC129" s="404">
        <v>0</v>
      </c>
      <c r="AD129" s="404">
        <v>0</v>
      </c>
      <c r="AE129" s="404">
        <v>0</v>
      </c>
      <c r="AF129" s="404">
        <v>21262</v>
      </c>
      <c r="AG129" s="404">
        <v>0</v>
      </c>
      <c r="AH129" s="404">
        <v>0</v>
      </c>
      <c r="AI129" s="404">
        <v>0</v>
      </c>
      <c r="AJ129" s="404">
        <v>0</v>
      </c>
      <c r="AK129" s="404">
        <v>0</v>
      </c>
      <c r="AL129" s="404">
        <v>0</v>
      </c>
      <c r="AM129" s="404">
        <v>0</v>
      </c>
      <c r="AN129" s="404">
        <v>0</v>
      </c>
      <c r="AO129" s="404">
        <v>0</v>
      </c>
      <c r="AP129" s="404">
        <v>0</v>
      </c>
      <c r="AQ129" s="404">
        <v>0</v>
      </c>
      <c r="AR129" s="404">
        <v>0</v>
      </c>
      <c r="AS129" s="404">
        <v>0</v>
      </c>
      <c r="AT129" s="404">
        <v>0</v>
      </c>
      <c r="AU129" s="404">
        <v>0</v>
      </c>
      <c r="AV129" s="404">
        <v>140</v>
      </c>
      <c r="AW129" s="404">
        <v>0</v>
      </c>
      <c r="AX129" s="404">
        <v>0</v>
      </c>
      <c r="AY129" s="404">
        <v>0</v>
      </c>
      <c r="AZ129" s="404">
        <v>0</v>
      </c>
      <c r="BA129" s="404">
        <v>0</v>
      </c>
      <c r="BB129" s="404">
        <v>0</v>
      </c>
      <c r="BC129" s="404">
        <v>0</v>
      </c>
      <c r="BD129" s="404">
        <v>0</v>
      </c>
      <c r="BE129" s="404">
        <v>0</v>
      </c>
      <c r="BF129" s="404">
        <v>0</v>
      </c>
      <c r="BG129" s="404">
        <v>0</v>
      </c>
      <c r="BH129" s="404">
        <v>0</v>
      </c>
      <c r="BI129" s="404">
        <v>6053</v>
      </c>
      <c r="BJ129" s="404">
        <v>0</v>
      </c>
      <c r="BK129" s="404">
        <v>0</v>
      </c>
      <c r="BL129" s="404">
        <v>0</v>
      </c>
      <c r="BM129" s="404">
        <v>0</v>
      </c>
      <c r="BN129" s="404">
        <v>289611</v>
      </c>
      <c r="BO129" s="404">
        <v>0</v>
      </c>
      <c r="BP129" s="404">
        <v>75002</v>
      </c>
      <c r="BQ129" s="404">
        <v>0</v>
      </c>
      <c r="BR129" s="404">
        <v>2182266</v>
      </c>
      <c r="BS129" s="404">
        <v>0</v>
      </c>
      <c r="BT129" s="404">
        <v>0</v>
      </c>
      <c r="BU129" s="404">
        <v>0</v>
      </c>
      <c r="BV129" s="404">
        <v>4000</v>
      </c>
      <c r="BW129" s="404">
        <v>0</v>
      </c>
      <c r="BX129" s="404">
        <v>0</v>
      </c>
      <c r="BY129" s="404">
        <v>0</v>
      </c>
      <c r="BZ129" s="404">
        <v>0</v>
      </c>
      <c r="CA129" s="404">
        <v>0</v>
      </c>
      <c r="CB129" s="404">
        <v>0</v>
      </c>
      <c r="CC129" s="404">
        <v>0</v>
      </c>
      <c r="CD129" s="404">
        <v>778049</v>
      </c>
      <c r="CE129" s="404">
        <v>0</v>
      </c>
      <c r="CF129" s="404">
        <v>0</v>
      </c>
      <c r="CG129" s="404">
        <v>0</v>
      </c>
      <c r="CH129" s="404">
        <v>400</v>
      </c>
      <c r="CI129" s="404">
        <v>0</v>
      </c>
      <c r="CJ129" s="404">
        <v>151729</v>
      </c>
      <c r="CK129" s="404">
        <v>0</v>
      </c>
      <c r="CL129" s="404">
        <v>0</v>
      </c>
      <c r="CM129" s="404">
        <v>0</v>
      </c>
      <c r="CN129" s="404">
        <v>0</v>
      </c>
      <c r="CO129" s="404">
        <v>0</v>
      </c>
      <c r="CP129" s="404">
        <v>0</v>
      </c>
      <c r="CQ129" s="404">
        <v>0</v>
      </c>
      <c r="CR129" s="404">
        <v>0</v>
      </c>
    </row>
    <row r="130" spans="1:96" s="404" customFormat="1" x14ac:dyDescent="0.3">
      <c r="A130" s="404">
        <v>369</v>
      </c>
      <c r="B130" s="405">
        <v>369</v>
      </c>
      <c r="C130" s="404">
        <v>369</v>
      </c>
      <c r="D130" s="404" t="s">
        <v>205</v>
      </c>
      <c r="E130" s="404" t="s">
        <v>446</v>
      </c>
      <c r="F130" s="404">
        <v>129651</v>
      </c>
      <c r="G130" s="404">
        <v>2663941</v>
      </c>
      <c r="H130" s="404">
        <v>552360</v>
      </c>
      <c r="I130" s="404">
        <v>1044397</v>
      </c>
      <c r="J130" s="404">
        <v>188083</v>
      </c>
      <c r="K130" s="404">
        <v>362086</v>
      </c>
      <c r="L130" s="404">
        <v>11832292</v>
      </c>
      <c r="M130" s="404">
        <v>339052</v>
      </c>
      <c r="N130" s="404">
        <v>229540</v>
      </c>
      <c r="O130" s="404">
        <v>344448</v>
      </c>
      <c r="P130" s="404">
        <v>537304</v>
      </c>
      <c r="Q130" s="404">
        <v>31823</v>
      </c>
      <c r="R130" s="404">
        <v>158482</v>
      </c>
      <c r="S130" s="404">
        <v>460134</v>
      </c>
      <c r="T130" s="404">
        <v>774237</v>
      </c>
      <c r="U130" s="404">
        <v>1973360</v>
      </c>
      <c r="V130" s="404">
        <v>3468608</v>
      </c>
      <c r="W130" s="404">
        <v>1686010</v>
      </c>
      <c r="X130" s="404">
        <v>110050</v>
      </c>
      <c r="Y130" s="404">
        <v>2151753</v>
      </c>
      <c r="Z130" s="404">
        <v>1761407</v>
      </c>
      <c r="AA130" s="404">
        <v>23293</v>
      </c>
      <c r="AB130" s="404">
        <v>4067545</v>
      </c>
      <c r="AC130" s="404">
        <v>689148</v>
      </c>
      <c r="AD130" s="404">
        <v>282488</v>
      </c>
      <c r="AE130" s="404">
        <v>150694</v>
      </c>
      <c r="AF130" s="404">
        <v>2914172</v>
      </c>
      <c r="AG130" s="404">
        <v>332797</v>
      </c>
      <c r="AH130" s="404">
        <v>898406</v>
      </c>
      <c r="AI130" s="404">
        <v>811183</v>
      </c>
      <c r="AJ130" s="404">
        <v>335419</v>
      </c>
      <c r="AK130" s="404">
        <v>2161813</v>
      </c>
      <c r="AL130" s="404">
        <v>391558</v>
      </c>
      <c r="AM130" s="404">
        <v>1440066</v>
      </c>
      <c r="AN130" s="404">
        <v>746984</v>
      </c>
      <c r="AO130" s="404">
        <v>155309</v>
      </c>
      <c r="AP130" s="404">
        <v>299281</v>
      </c>
      <c r="AQ130" s="404">
        <v>729582</v>
      </c>
      <c r="AR130" s="404">
        <v>0</v>
      </c>
      <c r="AS130" s="404">
        <v>46895</v>
      </c>
      <c r="AT130" s="404">
        <v>328266</v>
      </c>
      <c r="AU130" s="404">
        <v>344275</v>
      </c>
      <c r="AV130" s="404">
        <v>43245</v>
      </c>
      <c r="AW130" s="404">
        <v>170441</v>
      </c>
      <c r="AX130" s="404">
        <v>2153169</v>
      </c>
      <c r="AY130" s="404">
        <v>153947</v>
      </c>
      <c r="AZ130" s="404">
        <v>11502605</v>
      </c>
      <c r="BA130" s="404">
        <v>843993</v>
      </c>
      <c r="BB130" s="404">
        <v>2297060</v>
      </c>
      <c r="BC130" s="404">
        <v>891884</v>
      </c>
      <c r="BD130" s="404">
        <v>407984</v>
      </c>
      <c r="BE130" s="404">
        <v>825726</v>
      </c>
      <c r="BF130" s="404">
        <v>131679</v>
      </c>
      <c r="BG130" s="404">
        <v>450291</v>
      </c>
      <c r="BH130" s="404">
        <v>1112323</v>
      </c>
      <c r="BI130" s="404">
        <v>2699401</v>
      </c>
      <c r="BJ130" s="404">
        <v>160958</v>
      </c>
      <c r="BK130" s="404">
        <v>97385</v>
      </c>
      <c r="BL130" s="404">
        <v>3915468</v>
      </c>
      <c r="BM130" s="404">
        <v>1668996</v>
      </c>
      <c r="BN130" s="404">
        <v>2503796</v>
      </c>
      <c r="BO130" s="404">
        <v>47811</v>
      </c>
      <c r="BP130" s="404">
        <v>914628</v>
      </c>
      <c r="BQ130" s="404">
        <v>477713</v>
      </c>
      <c r="BR130" s="404">
        <v>2341221</v>
      </c>
      <c r="BS130" s="404">
        <v>125895</v>
      </c>
      <c r="BT130" s="404">
        <v>402534</v>
      </c>
      <c r="BU130" s="404">
        <v>1087425</v>
      </c>
      <c r="BV130" s="404">
        <v>1539060</v>
      </c>
      <c r="BW130" s="404">
        <v>0</v>
      </c>
      <c r="BX130" s="404">
        <v>538568</v>
      </c>
      <c r="BY130" s="404">
        <v>2201551</v>
      </c>
      <c r="BZ130" s="404">
        <v>63502</v>
      </c>
      <c r="CA130" s="404">
        <v>0</v>
      </c>
      <c r="CB130" s="404">
        <v>2328551</v>
      </c>
      <c r="CC130" s="404">
        <v>11367625</v>
      </c>
      <c r="CD130" s="404">
        <v>7418432</v>
      </c>
      <c r="CE130" s="404">
        <v>478257</v>
      </c>
      <c r="CF130" s="404">
        <v>1251734</v>
      </c>
      <c r="CG130" s="404">
        <v>320296</v>
      </c>
      <c r="CH130" s="404">
        <v>513885</v>
      </c>
      <c r="CI130" s="404">
        <v>22092075</v>
      </c>
      <c r="CJ130" s="404">
        <v>3908135</v>
      </c>
      <c r="CK130" s="404">
        <v>23013</v>
      </c>
      <c r="CL130" s="404">
        <v>606039</v>
      </c>
      <c r="CM130" s="404">
        <v>244339</v>
      </c>
      <c r="CN130" s="404">
        <v>3013949</v>
      </c>
      <c r="CO130" s="404">
        <v>1464721</v>
      </c>
      <c r="CP130" s="404">
        <v>436529</v>
      </c>
      <c r="CQ130" s="404">
        <v>285516</v>
      </c>
      <c r="CR130" s="404">
        <v>2661117</v>
      </c>
    </row>
    <row r="131" spans="1:96" s="404" customFormat="1" x14ac:dyDescent="0.3">
      <c r="A131" s="404">
        <v>370</v>
      </c>
      <c r="B131" s="405">
        <v>370</v>
      </c>
      <c r="C131" s="404">
        <v>370</v>
      </c>
      <c r="D131" s="404" t="s">
        <v>207</v>
      </c>
      <c r="E131" s="404" t="s">
        <v>447</v>
      </c>
      <c r="F131" s="404">
        <v>0</v>
      </c>
      <c r="G131" s="404">
        <v>389115</v>
      </c>
      <c r="H131" s="404">
        <v>0</v>
      </c>
      <c r="I131" s="404">
        <v>241147</v>
      </c>
      <c r="J131" s="404">
        <v>0</v>
      </c>
      <c r="K131" s="404">
        <v>8541</v>
      </c>
      <c r="L131" s="404">
        <v>941243</v>
      </c>
      <c r="M131" s="404">
        <v>26292</v>
      </c>
      <c r="N131" s="404">
        <v>0</v>
      </c>
      <c r="O131" s="404">
        <v>0</v>
      </c>
      <c r="P131" s="404">
        <v>54684</v>
      </c>
      <c r="Q131" s="404">
        <v>0</v>
      </c>
      <c r="R131" s="404">
        <v>0</v>
      </c>
      <c r="S131" s="404">
        <v>248260</v>
      </c>
      <c r="T131" s="404">
        <v>0</v>
      </c>
      <c r="U131" s="404">
        <v>51733</v>
      </c>
      <c r="V131" s="404">
        <v>459387</v>
      </c>
      <c r="W131" s="404">
        <v>262269</v>
      </c>
      <c r="X131" s="404">
        <v>0</v>
      </c>
      <c r="Y131" s="404">
        <v>266687</v>
      </c>
      <c r="Z131" s="404">
        <v>70838</v>
      </c>
      <c r="AA131" s="404">
        <v>0</v>
      </c>
      <c r="AB131" s="404">
        <v>0</v>
      </c>
      <c r="AC131" s="404">
        <v>29301</v>
      </c>
      <c r="AD131" s="404">
        <v>0</v>
      </c>
      <c r="AE131" s="404">
        <v>0</v>
      </c>
      <c r="AF131" s="404">
        <v>1814296</v>
      </c>
      <c r="AG131" s="404">
        <v>91007</v>
      </c>
      <c r="AH131" s="404">
        <v>172238</v>
      </c>
      <c r="AI131" s="404">
        <v>0</v>
      </c>
      <c r="AJ131" s="404">
        <v>0</v>
      </c>
      <c r="AK131" s="404">
        <v>0</v>
      </c>
      <c r="AL131" s="404">
        <v>445463</v>
      </c>
      <c r="AM131" s="404">
        <v>142198</v>
      </c>
      <c r="AN131" s="404">
        <v>59427</v>
      </c>
      <c r="AO131" s="404">
        <v>0</v>
      </c>
      <c r="AP131" s="404">
        <v>0</v>
      </c>
      <c r="AQ131" s="404">
        <v>363627</v>
      </c>
      <c r="AR131" s="404">
        <v>0</v>
      </c>
      <c r="AS131" s="404">
        <v>6064</v>
      </c>
      <c r="AT131" s="404">
        <v>0</v>
      </c>
      <c r="AU131" s="404">
        <v>35232</v>
      </c>
      <c r="AV131" s="404">
        <v>0</v>
      </c>
      <c r="AW131" s="404">
        <v>12337</v>
      </c>
      <c r="AX131" s="404">
        <v>147517</v>
      </c>
      <c r="AY131" s="404">
        <v>27022</v>
      </c>
      <c r="AZ131" s="404">
        <v>0</v>
      </c>
      <c r="BA131" s="404">
        <v>0</v>
      </c>
      <c r="BB131" s="404">
        <v>256061</v>
      </c>
      <c r="BC131" s="404">
        <v>0</v>
      </c>
      <c r="BD131" s="404">
        <v>31130</v>
      </c>
      <c r="BE131" s="404">
        <v>0</v>
      </c>
      <c r="BF131" s="404">
        <v>0</v>
      </c>
      <c r="BG131" s="404">
        <v>36900</v>
      </c>
      <c r="BH131" s="404">
        <v>90366</v>
      </c>
      <c r="BI131" s="404">
        <v>170384</v>
      </c>
      <c r="BJ131" s="404">
        <v>0</v>
      </c>
      <c r="BK131" s="404">
        <v>0</v>
      </c>
      <c r="BL131" s="404">
        <v>526564</v>
      </c>
      <c r="BM131" s="404">
        <v>598640</v>
      </c>
      <c r="BN131" s="404">
        <v>298767</v>
      </c>
      <c r="BO131" s="404">
        <v>0</v>
      </c>
      <c r="BP131" s="404">
        <v>0</v>
      </c>
      <c r="BQ131" s="404">
        <v>0</v>
      </c>
      <c r="BR131" s="404">
        <v>392682</v>
      </c>
      <c r="BS131" s="404">
        <v>0</v>
      </c>
      <c r="BT131" s="404">
        <v>0</v>
      </c>
      <c r="BU131" s="404">
        <v>82597</v>
      </c>
      <c r="BV131" s="404">
        <v>399360</v>
      </c>
      <c r="BW131" s="404">
        <v>0</v>
      </c>
      <c r="BX131" s="404">
        <v>36577</v>
      </c>
      <c r="BY131" s="404">
        <v>505333</v>
      </c>
      <c r="BZ131" s="404">
        <v>0</v>
      </c>
      <c r="CA131" s="404">
        <v>0</v>
      </c>
      <c r="CB131" s="404">
        <v>273084</v>
      </c>
      <c r="CC131" s="404">
        <v>0</v>
      </c>
      <c r="CD131" s="404">
        <v>354165</v>
      </c>
      <c r="CE131" s="404">
        <v>13297</v>
      </c>
      <c r="CF131" s="404">
        <v>0</v>
      </c>
      <c r="CG131" s="404">
        <v>36632</v>
      </c>
      <c r="CH131" s="404">
        <v>98106</v>
      </c>
      <c r="CI131" s="404">
        <v>0</v>
      </c>
      <c r="CJ131" s="404">
        <v>707696</v>
      </c>
      <c r="CK131" s="404">
        <v>71422</v>
      </c>
      <c r="CL131" s="404">
        <v>271529</v>
      </c>
      <c r="CM131" s="404">
        <v>0</v>
      </c>
      <c r="CN131" s="404">
        <v>477226</v>
      </c>
      <c r="CO131" s="404">
        <v>55068</v>
      </c>
      <c r="CP131" s="404">
        <v>98493</v>
      </c>
      <c r="CQ131" s="404">
        <v>278499</v>
      </c>
      <c r="CR131" s="404">
        <v>582745</v>
      </c>
    </row>
    <row r="132" spans="1:96" s="404" customFormat="1" x14ac:dyDescent="0.3">
      <c r="A132" s="404">
        <v>371</v>
      </c>
      <c r="B132" s="405">
        <v>371</v>
      </c>
      <c r="C132" s="404">
        <v>371</v>
      </c>
      <c r="D132" s="404" t="s">
        <v>261</v>
      </c>
      <c r="E132" s="404" t="s">
        <v>448</v>
      </c>
      <c r="F132" s="404">
        <v>0</v>
      </c>
      <c r="G132" s="404">
        <v>0</v>
      </c>
      <c r="H132" s="404">
        <v>0</v>
      </c>
      <c r="I132" s="404">
        <v>0</v>
      </c>
      <c r="J132" s="404">
        <v>0</v>
      </c>
      <c r="K132" s="404">
        <v>0</v>
      </c>
      <c r="L132" s="404">
        <v>0</v>
      </c>
      <c r="M132" s="404">
        <v>0</v>
      </c>
      <c r="N132" s="404">
        <v>0</v>
      </c>
      <c r="O132" s="404">
        <v>0</v>
      </c>
      <c r="P132" s="404">
        <v>0</v>
      </c>
      <c r="Q132" s="404">
        <v>0</v>
      </c>
      <c r="R132" s="404">
        <v>0</v>
      </c>
      <c r="S132" s="404">
        <v>0</v>
      </c>
      <c r="T132" s="404">
        <v>0</v>
      </c>
      <c r="U132" s="404">
        <v>0</v>
      </c>
      <c r="V132" s="404">
        <v>0</v>
      </c>
      <c r="W132" s="404">
        <v>0</v>
      </c>
      <c r="X132" s="404">
        <v>0</v>
      </c>
      <c r="Y132" s="404">
        <v>0</v>
      </c>
      <c r="Z132" s="404">
        <v>0</v>
      </c>
      <c r="AA132" s="404">
        <v>0</v>
      </c>
      <c r="AB132" s="404">
        <v>0</v>
      </c>
      <c r="AC132" s="404">
        <v>0</v>
      </c>
      <c r="AD132" s="404">
        <v>0</v>
      </c>
      <c r="AE132" s="404">
        <v>0</v>
      </c>
      <c r="AF132" s="404">
        <v>0</v>
      </c>
      <c r="AG132" s="404">
        <v>0</v>
      </c>
      <c r="AH132" s="404">
        <v>0</v>
      </c>
      <c r="AI132" s="404">
        <v>0</v>
      </c>
      <c r="AJ132" s="404">
        <v>0</v>
      </c>
      <c r="AK132" s="404">
        <v>0</v>
      </c>
      <c r="AL132" s="404">
        <v>0</v>
      </c>
      <c r="AM132" s="404">
        <v>0</v>
      </c>
      <c r="AN132" s="404">
        <v>0</v>
      </c>
      <c r="AO132" s="404">
        <v>0</v>
      </c>
      <c r="AP132" s="404">
        <v>0</v>
      </c>
      <c r="AQ132" s="404">
        <v>0</v>
      </c>
      <c r="AR132" s="404">
        <v>0</v>
      </c>
      <c r="AS132" s="404">
        <v>0</v>
      </c>
      <c r="AT132" s="404">
        <v>0</v>
      </c>
      <c r="AU132" s="404">
        <v>0</v>
      </c>
      <c r="AV132" s="404">
        <v>0</v>
      </c>
      <c r="AW132" s="404">
        <v>0</v>
      </c>
      <c r="AX132" s="404">
        <v>0</v>
      </c>
      <c r="AY132" s="404">
        <v>0</v>
      </c>
      <c r="AZ132" s="404">
        <v>4840020</v>
      </c>
      <c r="BA132" s="404">
        <v>0</v>
      </c>
      <c r="BB132" s="404">
        <v>0</v>
      </c>
      <c r="BC132" s="404">
        <v>0</v>
      </c>
      <c r="BD132" s="404">
        <v>0</v>
      </c>
      <c r="BE132" s="404">
        <v>0</v>
      </c>
      <c r="BF132" s="404">
        <v>0</v>
      </c>
      <c r="BG132" s="404">
        <v>0</v>
      </c>
      <c r="BH132" s="404">
        <v>0</v>
      </c>
      <c r="BI132" s="404">
        <v>0</v>
      </c>
      <c r="BJ132" s="404">
        <v>0</v>
      </c>
      <c r="BK132" s="404">
        <v>0</v>
      </c>
      <c r="BL132" s="404">
        <v>0</v>
      </c>
      <c r="BM132" s="404">
        <v>0</v>
      </c>
      <c r="BN132" s="404">
        <v>0</v>
      </c>
      <c r="BO132" s="404">
        <v>0</v>
      </c>
      <c r="BP132" s="404">
        <v>0</v>
      </c>
      <c r="BQ132" s="404">
        <v>0</v>
      </c>
      <c r="BR132" s="404">
        <v>0</v>
      </c>
      <c r="BS132" s="404">
        <v>0</v>
      </c>
      <c r="BT132" s="404">
        <v>0</v>
      </c>
      <c r="BU132" s="404">
        <v>0</v>
      </c>
      <c r="BV132" s="404">
        <v>0</v>
      </c>
      <c r="BW132" s="404">
        <v>0</v>
      </c>
      <c r="BX132" s="404">
        <v>0</v>
      </c>
      <c r="BY132" s="404">
        <v>0</v>
      </c>
      <c r="BZ132" s="404">
        <v>0</v>
      </c>
      <c r="CA132" s="404">
        <v>0</v>
      </c>
      <c r="CB132" s="404">
        <v>0</v>
      </c>
      <c r="CC132" s="404">
        <v>9334832</v>
      </c>
      <c r="CD132" s="404">
        <v>0</v>
      </c>
      <c r="CE132" s="404">
        <v>0</v>
      </c>
      <c r="CF132" s="404">
        <v>0</v>
      </c>
      <c r="CG132" s="404">
        <v>0</v>
      </c>
      <c r="CH132" s="404">
        <v>0</v>
      </c>
      <c r="CI132" s="404">
        <v>1925880</v>
      </c>
      <c r="CJ132" s="404">
        <v>0</v>
      </c>
      <c r="CK132" s="404">
        <v>0</v>
      </c>
      <c r="CL132" s="404">
        <v>0</v>
      </c>
      <c r="CM132" s="404">
        <v>0</v>
      </c>
      <c r="CN132" s="404">
        <v>0</v>
      </c>
      <c r="CO132" s="404">
        <v>0</v>
      </c>
      <c r="CP132" s="404">
        <v>0</v>
      </c>
      <c r="CQ132" s="404">
        <v>0</v>
      </c>
      <c r="CR132" s="404">
        <v>0</v>
      </c>
    </row>
    <row r="133" spans="1:96" s="404" customFormat="1" x14ac:dyDescent="0.3">
      <c r="A133" s="404">
        <v>373</v>
      </c>
      <c r="B133" s="405">
        <v>373</v>
      </c>
      <c r="C133" s="404">
        <v>373</v>
      </c>
      <c r="D133" s="404" t="s">
        <v>548</v>
      </c>
      <c r="E133" s="404" t="s">
        <v>449</v>
      </c>
      <c r="F133" s="404">
        <v>27474</v>
      </c>
      <c r="G133" s="404">
        <v>30354206</v>
      </c>
      <c r="H133" s="404">
        <v>1192031</v>
      </c>
      <c r="I133" s="404">
        <v>3644838</v>
      </c>
      <c r="J133" s="404">
        <v>1018401</v>
      </c>
      <c r="K133" s="404">
        <v>1367846</v>
      </c>
      <c r="L133" s="404">
        <v>54333024</v>
      </c>
      <c r="M133" s="404">
        <v>665442</v>
      </c>
      <c r="N133" s="404">
        <v>294376</v>
      </c>
      <c r="O133" s="404">
        <v>817929</v>
      </c>
      <c r="P133" s="404">
        <v>1587379</v>
      </c>
      <c r="Q133" s="404">
        <v>22229</v>
      </c>
      <c r="R133" s="404">
        <v>357280</v>
      </c>
      <c r="S133" s="404">
        <v>2057594</v>
      </c>
      <c r="T133" s="404">
        <v>3682513</v>
      </c>
      <c r="U133" s="404">
        <v>4886690</v>
      </c>
      <c r="V133" s="404">
        <v>7586680</v>
      </c>
      <c r="W133" s="404">
        <v>3449175</v>
      </c>
      <c r="X133" s="404">
        <v>184989</v>
      </c>
      <c r="Y133" s="404">
        <v>6586562</v>
      </c>
      <c r="Z133" s="404">
        <v>3709336</v>
      </c>
      <c r="AA133" s="404">
        <v>76068</v>
      </c>
      <c r="AB133" s="404">
        <v>63813497</v>
      </c>
      <c r="AC133" s="404">
        <v>1619976</v>
      </c>
      <c r="AD133" s="404">
        <v>583505</v>
      </c>
      <c r="AE133" s="404">
        <v>196658</v>
      </c>
      <c r="AF133" s="404">
        <v>23720382</v>
      </c>
      <c r="AG133" s="404">
        <v>1349147</v>
      </c>
      <c r="AH133" s="404">
        <v>2215458</v>
      </c>
      <c r="AI133" s="404">
        <v>1042534</v>
      </c>
      <c r="AJ133" s="404">
        <v>64339</v>
      </c>
      <c r="AK133" s="404">
        <v>926453</v>
      </c>
      <c r="AL133" s="404">
        <v>2675377</v>
      </c>
      <c r="AM133" s="404">
        <v>3310221</v>
      </c>
      <c r="AN133" s="404">
        <v>3816688</v>
      </c>
      <c r="AO133" s="404">
        <v>80501</v>
      </c>
      <c r="AP133" s="404">
        <v>61529</v>
      </c>
      <c r="AQ133" s="404">
        <v>6774767</v>
      </c>
      <c r="AR133" s="404">
        <v>0</v>
      </c>
      <c r="AS133" s="404">
        <v>123534</v>
      </c>
      <c r="AT133" s="404">
        <v>280192</v>
      </c>
      <c r="AU133" s="404">
        <v>540939</v>
      </c>
      <c r="AV133" s="404">
        <v>174829</v>
      </c>
      <c r="AW133" s="404">
        <v>427574</v>
      </c>
      <c r="AX133" s="404">
        <v>3304528</v>
      </c>
      <c r="AY133" s="404">
        <v>778033</v>
      </c>
      <c r="AZ133" s="404">
        <v>77383937</v>
      </c>
      <c r="BA133" s="404">
        <v>1323282</v>
      </c>
      <c r="BB133" s="404">
        <v>6262815</v>
      </c>
      <c r="BC133" s="404">
        <v>412473</v>
      </c>
      <c r="BD133" s="404">
        <v>458587</v>
      </c>
      <c r="BE133" s="404">
        <v>4137696</v>
      </c>
      <c r="BF133" s="404">
        <v>87202</v>
      </c>
      <c r="BG133" s="404">
        <v>489689</v>
      </c>
      <c r="BH133" s="404">
        <v>2310074</v>
      </c>
      <c r="BI133" s="404">
        <v>18573339</v>
      </c>
      <c r="BJ133" s="404">
        <v>175803</v>
      </c>
      <c r="BK133" s="404">
        <v>68009</v>
      </c>
      <c r="BL133" s="404">
        <v>34346992</v>
      </c>
      <c r="BM133" s="404">
        <v>42160934</v>
      </c>
      <c r="BN133" s="404">
        <v>7746044</v>
      </c>
      <c r="BO133" s="404">
        <v>158379</v>
      </c>
      <c r="BP133" s="404">
        <v>597921</v>
      </c>
      <c r="BQ133" s="404">
        <v>3694691</v>
      </c>
      <c r="BR133" s="404">
        <v>4325085</v>
      </c>
      <c r="BS133" s="404">
        <v>574941</v>
      </c>
      <c r="BT133" s="404">
        <v>1638362</v>
      </c>
      <c r="BU133" s="404">
        <v>3759099</v>
      </c>
      <c r="BV133" s="404">
        <v>2368615</v>
      </c>
      <c r="BW133" s="404">
        <v>0</v>
      </c>
      <c r="BX133" s="404">
        <v>2738872</v>
      </c>
      <c r="BY133" s="404">
        <v>7540921</v>
      </c>
      <c r="BZ133" s="404">
        <v>228518</v>
      </c>
      <c r="CA133" s="404">
        <v>0</v>
      </c>
      <c r="CB133" s="404">
        <v>12130520</v>
      </c>
      <c r="CC133" s="404">
        <v>220444029</v>
      </c>
      <c r="CD133" s="404">
        <v>65767682</v>
      </c>
      <c r="CE133" s="404">
        <v>447285</v>
      </c>
      <c r="CF133" s="404">
        <v>4164035</v>
      </c>
      <c r="CG133" s="404">
        <v>485727</v>
      </c>
      <c r="CH133" s="404">
        <v>2333360</v>
      </c>
      <c r="CI133" s="404">
        <v>271826440</v>
      </c>
      <c r="CJ133" s="404">
        <v>25666166</v>
      </c>
      <c r="CK133" s="404">
        <v>1547373</v>
      </c>
      <c r="CL133" s="404">
        <v>2256104</v>
      </c>
      <c r="CM133" s="404">
        <v>970819</v>
      </c>
      <c r="CN133" s="404">
        <v>8413353</v>
      </c>
      <c r="CO133" s="404">
        <v>2680682</v>
      </c>
      <c r="CP133" s="404">
        <v>1823359</v>
      </c>
      <c r="CQ133" s="404">
        <v>902127</v>
      </c>
      <c r="CR133" s="404">
        <v>17446425</v>
      </c>
    </row>
    <row r="134" spans="1:96" s="404" customFormat="1" x14ac:dyDescent="0.3">
      <c r="A134" s="404">
        <v>375</v>
      </c>
      <c r="B134" s="405">
        <v>375</v>
      </c>
      <c r="C134" s="404">
        <v>375</v>
      </c>
      <c r="D134" s="404" t="s">
        <v>222</v>
      </c>
      <c r="E134" s="404" t="s">
        <v>450</v>
      </c>
      <c r="F134" s="404">
        <v>0</v>
      </c>
      <c r="G134" s="404">
        <v>0</v>
      </c>
      <c r="H134" s="404">
        <v>639148</v>
      </c>
      <c r="I134" s="404">
        <v>962469</v>
      </c>
      <c r="J134" s="404">
        <v>2240631</v>
      </c>
      <c r="K134" s="404">
        <v>37825</v>
      </c>
      <c r="L134" s="404">
        <v>17524892</v>
      </c>
      <c r="M134" s="404">
        <v>612437</v>
      </c>
      <c r="N134" s="404">
        <v>0</v>
      </c>
      <c r="O134" s="404">
        <v>1512331</v>
      </c>
      <c r="P134" s="404">
        <v>64505</v>
      </c>
      <c r="Q134" s="404">
        <v>0</v>
      </c>
      <c r="R134" s="404">
        <v>56475</v>
      </c>
      <c r="S134" s="404">
        <v>0</v>
      </c>
      <c r="T134" s="404">
        <v>0</v>
      </c>
      <c r="U134" s="404">
        <v>0</v>
      </c>
      <c r="V134" s="404">
        <v>5492049</v>
      </c>
      <c r="W134" s="404">
        <v>0</v>
      </c>
      <c r="X134" s="404">
        <v>2584614</v>
      </c>
      <c r="Y134" s="404">
        <v>0</v>
      </c>
      <c r="Z134" s="404">
        <v>2289538</v>
      </c>
      <c r="AA134" s="404">
        <v>0</v>
      </c>
      <c r="AB134" s="404">
        <v>-529729</v>
      </c>
      <c r="AC134" s="404">
        <v>1980475</v>
      </c>
      <c r="AD134" s="404">
        <v>-265647</v>
      </c>
      <c r="AE134" s="404">
        <v>181349</v>
      </c>
      <c r="AF134" s="404">
        <v>10307641</v>
      </c>
      <c r="AG134" s="404">
        <v>0</v>
      </c>
      <c r="AH134" s="404">
        <v>1922133</v>
      </c>
      <c r="AI134" s="404">
        <v>0</v>
      </c>
      <c r="AJ134" s="404">
        <v>485104</v>
      </c>
      <c r="AK134" s="404">
        <v>519602</v>
      </c>
      <c r="AL134" s="404">
        <v>1866262</v>
      </c>
      <c r="AM134" s="404">
        <v>584295</v>
      </c>
      <c r="AN134" s="404">
        <v>372972</v>
      </c>
      <c r="AO134" s="404">
        <v>57567</v>
      </c>
      <c r="AP134" s="404">
        <v>0</v>
      </c>
      <c r="AQ134" s="404">
        <v>1265793</v>
      </c>
      <c r="AR134" s="404">
        <v>0</v>
      </c>
      <c r="AS134" s="404">
        <v>0</v>
      </c>
      <c r="AT134" s="404">
        <v>0</v>
      </c>
      <c r="AU134" s="404">
        <v>0</v>
      </c>
      <c r="AV134" s="404">
        <v>0</v>
      </c>
      <c r="AW134" s="404">
        <v>123034</v>
      </c>
      <c r="AX134" s="404">
        <v>1764268</v>
      </c>
      <c r="AY134" s="404">
        <v>426193</v>
      </c>
      <c r="AZ134" s="404">
        <v>0</v>
      </c>
      <c r="BA134" s="404">
        <v>208401</v>
      </c>
      <c r="BB134" s="404">
        <v>3216129</v>
      </c>
      <c r="BC134" s="404">
        <v>0</v>
      </c>
      <c r="BD134" s="404">
        <v>1660123</v>
      </c>
      <c r="BE134" s="404">
        <v>1136209</v>
      </c>
      <c r="BF134" s="404">
        <v>48019</v>
      </c>
      <c r="BG134" s="404">
        <v>799954</v>
      </c>
      <c r="BH134" s="404">
        <v>2317547</v>
      </c>
      <c r="BI134" s="404">
        <v>6520883</v>
      </c>
      <c r="BJ134" s="404">
        <v>0</v>
      </c>
      <c r="BK134" s="404">
        <v>0</v>
      </c>
      <c r="BL134" s="404">
        <v>0</v>
      </c>
      <c r="BM134" s="404">
        <v>3820295</v>
      </c>
      <c r="BN134" s="404">
        <v>2680368</v>
      </c>
      <c r="BO134" s="404">
        <v>0</v>
      </c>
      <c r="BP134" s="404">
        <v>0</v>
      </c>
      <c r="BQ134" s="404">
        <v>2209660</v>
      </c>
      <c r="BR134" s="404">
        <v>0</v>
      </c>
      <c r="BS134" s="404">
        <v>0</v>
      </c>
      <c r="BT134" s="404">
        <v>0</v>
      </c>
      <c r="BU134" s="404">
        <v>1014634</v>
      </c>
      <c r="BV134" s="404">
        <v>0</v>
      </c>
      <c r="BW134" s="404">
        <v>0</v>
      </c>
      <c r="BX134" s="404">
        <v>2026396</v>
      </c>
      <c r="BY134" s="404">
        <v>1627207</v>
      </c>
      <c r="BZ134" s="404">
        <v>80243</v>
      </c>
      <c r="CA134" s="404">
        <v>0</v>
      </c>
      <c r="CB134" s="404">
        <v>7050794</v>
      </c>
      <c r="CC134" s="404">
        <v>0</v>
      </c>
      <c r="CD134" s="404">
        <v>12125378</v>
      </c>
      <c r="CE134" s="404">
        <v>40475</v>
      </c>
      <c r="CF134" s="404">
        <v>1213071</v>
      </c>
      <c r="CG134" s="404">
        <v>62235</v>
      </c>
      <c r="CH134" s="404">
        <v>946822</v>
      </c>
      <c r="CI134" s="404">
        <v>109630947</v>
      </c>
      <c r="CJ134" s="404">
        <v>2445390</v>
      </c>
      <c r="CK134" s="404">
        <v>883381</v>
      </c>
      <c r="CL134" s="404">
        <v>0</v>
      </c>
      <c r="CM134" s="404">
        <v>571394</v>
      </c>
      <c r="CN134" s="404">
        <v>7900988</v>
      </c>
      <c r="CO134" s="404">
        <v>3479295</v>
      </c>
      <c r="CP134" s="404">
        <v>2097212</v>
      </c>
      <c r="CQ134" s="404">
        <v>0</v>
      </c>
      <c r="CR134" s="404">
        <v>0</v>
      </c>
    </row>
    <row r="135" spans="1:96" s="404" customFormat="1" x14ac:dyDescent="0.3">
      <c r="A135" s="404">
        <v>376</v>
      </c>
      <c r="B135" s="405">
        <v>376</v>
      </c>
      <c r="C135" s="404">
        <v>376</v>
      </c>
      <c r="D135" s="404" t="s">
        <v>108</v>
      </c>
      <c r="E135" s="404" t="s">
        <v>451</v>
      </c>
      <c r="F135" s="404">
        <v>0</v>
      </c>
      <c r="G135" s="404">
        <v>0</v>
      </c>
      <c r="H135" s="404">
        <v>0</v>
      </c>
      <c r="I135" s="404">
        <v>566503</v>
      </c>
      <c r="J135" s="404">
        <v>-21615</v>
      </c>
      <c r="K135" s="404">
        <v>-44140</v>
      </c>
      <c r="L135" s="404">
        <v>0</v>
      </c>
      <c r="M135" s="404">
        <v>24993</v>
      </c>
      <c r="N135" s="404">
        <v>0</v>
      </c>
      <c r="O135" s="404">
        <v>0</v>
      </c>
      <c r="P135" s="404">
        <v>0</v>
      </c>
      <c r="Q135" s="404">
        <v>0</v>
      </c>
      <c r="R135" s="404">
        <v>0</v>
      </c>
      <c r="S135" s="404">
        <v>0</v>
      </c>
      <c r="T135" s="404">
        <v>0</v>
      </c>
      <c r="U135" s="404">
        <v>0</v>
      </c>
      <c r="V135" s="404">
        <v>0</v>
      </c>
      <c r="W135" s="404">
        <v>0</v>
      </c>
      <c r="X135" s="404">
        <v>0</v>
      </c>
      <c r="Y135" s="404">
        <v>0</v>
      </c>
      <c r="Z135" s="404">
        <v>0</v>
      </c>
      <c r="AA135" s="404">
        <v>0</v>
      </c>
      <c r="AB135" s="404">
        <v>0</v>
      </c>
      <c r="AC135" s="404">
        <v>0</v>
      </c>
      <c r="AD135" s="404">
        <v>0</v>
      </c>
      <c r="AE135" s="404">
        <v>0</v>
      </c>
      <c r="AF135" s="404">
        <v>0</v>
      </c>
      <c r="AG135" s="404">
        <v>0</v>
      </c>
      <c r="AH135" s="404">
        <v>0</v>
      </c>
      <c r="AI135" s="404">
        <v>0</v>
      </c>
      <c r="AJ135" s="404">
        <v>0</v>
      </c>
      <c r="AK135" s="404">
        <v>0</v>
      </c>
      <c r="AL135" s="404">
        <v>0</v>
      </c>
      <c r="AM135" s="404">
        <v>0</v>
      </c>
      <c r="AN135" s="404">
        <v>0</v>
      </c>
      <c r="AO135" s="404">
        <v>0</v>
      </c>
      <c r="AP135" s="404">
        <v>0</v>
      </c>
      <c r="AQ135" s="404">
        <v>0</v>
      </c>
      <c r="AR135" s="404">
        <v>0</v>
      </c>
      <c r="AS135" s="404">
        <v>0</v>
      </c>
      <c r="AT135" s="404">
        <v>0</v>
      </c>
      <c r="AU135" s="404">
        <v>0</v>
      </c>
      <c r="AV135" s="404">
        <v>0</v>
      </c>
      <c r="AW135" s="404">
        <v>26158</v>
      </c>
      <c r="AX135" s="404">
        <v>0</v>
      </c>
      <c r="AY135" s="404">
        <v>0</v>
      </c>
      <c r="AZ135" s="404">
        <v>0</v>
      </c>
      <c r="BA135" s="404">
        <v>0</v>
      </c>
      <c r="BB135" s="404">
        <v>0</v>
      </c>
      <c r="BC135" s="404">
        <v>-1</v>
      </c>
      <c r="BD135" s="404">
        <v>0</v>
      </c>
      <c r="BE135" s="404">
        <v>0</v>
      </c>
      <c r="BF135" s="404">
        <v>0</v>
      </c>
      <c r="BG135" s="404">
        <v>0</v>
      </c>
      <c r="BH135" s="404">
        <v>-33649</v>
      </c>
      <c r="BI135" s="404">
        <v>0</v>
      </c>
      <c r="BJ135" s="404">
        <v>0</v>
      </c>
      <c r="BK135" s="404">
        <v>0</v>
      </c>
      <c r="BL135" s="404">
        <v>0</v>
      </c>
      <c r="BM135" s="404">
        <v>0</v>
      </c>
      <c r="BN135" s="404">
        <v>0</v>
      </c>
      <c r="BO135" s="404">
        <v>0</v>
      </c>
      <c r="BP135" s="404">
        <v>0</v>
      </c>
      <c r="BQ135" s="404">
        <v>0</v>
      </c>
      <c r="BR135" s="404">
        <v>0</v>
      </c>
      <c r="BS135" s="404">
        <v>0</v>
      </c>
      <c r="BT135" s="404">
        <v>0</v>
      </c>
      <c r="BU135" s="404">
        <v>0</v>
      </c>
      <c r="BV135" s="404">
        <v>0</v>
      </c>
      <c r="BW135" s="404">
        <v>0</v>
      </c>
      <c r="BX135" s="404">
        <v>-408513</v>
      </c>
      <c r="BY135" s="404">
        <v>0</v>
      </c>
      <c r="BZ135" s="404">
        <v>0</v>
      </c>
      <c r="CA135" s="404">
        <v>0</v>
      </c>
      <c r="CB135" s="404">
        <v>0</v>
      </c>
      <c r="CC135" s="404">
        <v>0</v>
      </c>
      <c r="CD135" s="404">
        <v>0</v>
      </c>
      <c r="CE135" s="404">
        <v>0</v>
      </c>
      <c r="CF135" s="404">
        <v>17346</v>
      </c>
      <c r="CG135" s="404">
        <v>0</v>
      </c>
      <c r="CH135" s="404">
        <v>0</v>
      </c>
      <c r="CI135" s="404">
        <v>0</v>
      </c>
      <c r="CJ135" s="404">
        <v>0</v>
      </c>
      <c r="CK135" s="404">
        <v>0</v>
      </c>
      <c r="CL135" s="404">
        <v>0</v>
      </c>
      <c r="CM135" s="404">
        <v>0</v>
      </c>
      <c r="CN135" s="404">
        <v>0</v>
      </c>
      <c r="CO135" s="404">
        <v>0</v>
      </c>
      <c r="CP135" s="404">
        <v>-37429</v>
      </c>
      <c r="CQ135" s="404">
        <v>0</v>
      </c>
      <c r="CR135" s="404">
        <v>0</v>
      </c>
    </row>
    <row r="136" spans="1:96" s="404" customFormat="1" x14ac:dyDescent="0.3">
      <c r="A136" s="404">
        <v>377</v>
      </c>
      <c r="B136" s="405">
        <v>377</v>
      </c>
      <c r="C136" s="404">
        <v>377</v>
      </c>
      <c r="D136" s="404" t="s">
        <v>109</v>
      </c>
      <c r="E136" s="404" t="s">
        <v>452</v>
      </c>
      <c r="F136" s="404">
        <v>0</v>
      </c>
      <c r="G136" s="404">
        <v>0</v>
      </c>
      <c r="H136" s="404">
        <v>0</v>
      </c>
      <c r="I136" s="404">
        <v>0</v>
      </c>
      <c r="J136" s="404">
        <v>-10556</v>
      </c>
      <c r="K136" s="404">
        <v>0</v>
      </c>
      <c r="L136" s="404">
        <v>0</v>
      </c>
      <c r="M136" s="404">
        <v>0</v>
      </c>
      <c r="N136" s="404">
        <v>0</v>
      </c>
      <c r="O136" s="404">
        <v>0</v>
      </c>
      <c r="P136" s="404">
        <v>0</v>
      </c>
      <c r="Q136" s="404">
        <v>0</v>
      </c>
      <c r="R136" s="404">
        <v>0</v>
      </c>
      <c r="S136" s="404">
        <v>0</v>
      </c>
      <c r="T136" s="404">
        <v>0</v>
      </c>
      <c r="U136" s="404">
        <v>0</v>
      </c>
      <c r="V136" s="404">
        <v>0</v>
      </c>
      <c r="W136" s="404">
        <v>0</v>
      </c>
      <c r="X136" s="404">
        <v>0</v>
      </c>
      <c r="Y136" s="404">
        <v>0</v>
      </c>
      <c r="Z136" s="404">
        <v>0</v>
      </c>
      <c r="AA136" s="404">
        <v>0</v>
      </c>
      <c r="AB136" s="404">
        <v>0</v>
      </c>
      <c r="AC136" s="404">
        <v>0</v>
      </c>
      <c r="AD136" s="404">
        <v>0</v>
      </c>
      <c r="AE136" s="404">
        <v>0</v>
      </c>
      <c r="AF136" s="404">
        <v>0</v>
      </c>
      <c r="AG136" s="404">
        <v>0</v>
      </c>
      <c r="AH136" s="404">
        <v>0</v>
      </c>
      <c r="AI136" s="404">
        <v>0</v>
      </c>
      <c r="AJ136" s="404">
        <v>0</v>
      </c>
      <c r="AK136" s="404">
        <v>0</v>
      </c>
      <c r="AL136" s="404">
        <v>0</v>
      </c>
      <c r="AM136" s="404">
        <v>0</v>
      </c>
      <c r="AN136" s="404">
        <v>141326</v>
      </c>
      <c r="AO136" s="404">
        <v>0</v>
      </c>
      <c r="AP136" s="404">
        <v>0</v>
      </c>
      <c r="AQ136" s="404">
        <v>0</v>
      </c>
      <c r="AR136" s="404">
        <v>0</v>
      </c>
      <c r="AS136" s="404">
        <v>0</v>
      </c>
      <c r="AT136" s="404">
        <v>0</v>
      </c>
      <c r="AU136" s="404">
        <v>0</v>
      </c>
      <c r="AV136" s="404">
        <v>0</v>
      </c>
      <c r="AW136" s="404">
        <v>0</v>
      </c>
      <c r="AX136" s="404">
        <v>0</v>
      </c>
      <c r="AY136" s="404">
        <v>0</v>
      </c>
      <c r="AZ136" s="404">
        <v>0</v>
      </c>
      <c r="BA136" s="404">
        <v>0</v>
      </c>
      <c r="BB136" s="404">
        <v>0</v>
      </c>
      <c r="BC136" s="404">
        <v>0</v>
      </c>
      <c r="BD136" s="404">
        <v>0</v>
      </c>
      <c r="BE136" s="404">
        <v>0</v>
      </c>
      <c r="BF136" s="404">
        <v>0</v>
      </c>
      <c r="BG136" s="404">
        <v>0</v>
      </c>
      <c r="BH136" s="404">
        <v>-9491</v>
      </c>
      <c r="BI136" s="404">
        <v>0</v>
      </c>
      <c r="BJ136" s="404">
        <v>0</v>
      </c>
      <c r="BK136" s="404">
        <v>0</v>
      </c>
      <c r="BL136" s="404">
        <v>0</v>
      </c>
      <c r="BM136" s="404">
        <v>0</v>
      </c>
      <c r="BN136" s="404">
        <v>0</v>
      </c>
      <c r="BO136" s="404">
        <v>0</v>
      </c>
      <c r="BP136" s="404">
        <v>0</v>
      </c>
      <c r="BQ136" s="404">
        <v>0</v>
      </c>
      <c r="BR136" s="404">
        <v>0</v>
      </c>
      <c r="BS136" s="404">
        <v>0</v>
      </c>
      <c r="BT136" s="404">
        <v>0</v>
      </c>
      <c r="BU136" s="404">
        <v>0</v>
      </c>
      <c r="BV136" s="404">
        <v>0</v>
      </c>
      <c r="BW136" s="404">
        <v>0</v>
      </c>
      <c r="BX136" s="404">
        <v>-78466</v>
      </c>
      <c r="BY136" s="404">
        <v>0</v>
      </c>
      <c r="BZ136" s="404">
        <v>0</v>
      </c>
      <c r="CA136" s="404">
        <v>0</v>
      </c>
      <c r="CB136" s="404">
        <v>0</v>
      </c>
      <c r="CC136" s="404">
        <v>0</v>
      </c>
      <c r="CD136" s="404">
        <v>0</v>
      </c>
      <c r="CE136" s="404">
        <v>0</v>
      </c>
      <c r="CF136" s="404">
        <v>0</v>
      </c>
      <c r="CG136" s="404">
        <v>0</v>
      </c>
      <c r="CH136" s="404">
        <v>0</v>
      </c>
      <c r="CI136" s="404">
        <v>0</v>
      </c>
      <c r="CJ136" s="404">
        <v>0</v>
      </c>
      <c r="CK136" s="404">
        <v>0</v>
      </c>
      <c r="CL136" s="404">
        <v>0</v>
      </c>
      <c r="CM136" s="404">
        <v>282033</v>
      </c>
      <c r="CN136" s="404">
        <v>0</v>
      </c>
      <c r="CO136" s="404">
        <v>0</v>
      </c>
      <c r="CP136" s="404">
        <v>-116478</v>
      </c>
      <c r="CQ136" s="404">
        <v>0</v>
      </c>
      <c r="CR136" s="404">
        <v>0</v>
      </c>
    </row>
    <row r="137" spans="1:96" s="404" customFormat="1" x14ac:dyDescent="0.3">
      <c r="A137" s="404">
        <v>378</v>
      </c>
      <c r="B137" s="405">
        <v>378</v>
      </c>
      <c r="C137" s="404">
        <v>378</v>
      </c>
      <c r="D137" s="404" t="s">
        <v>110</v>
      </c>
      <c r="E137" s="404" t="s">
        <v>453</v>
      </c>
      <c r="F137" s="404">
        <v>0</v>
      </c>
      <c r="G137" s="404">
        <v>0</v>
      </c>
      <c r="H137" s="404">
        <v>0</v>
      </c>
      <c r="I137" s="404">
        <v>0</v>
      </c>
      <c r="J137" s="404">
        <v>-18095</v>
      </c>
      <c r="K137" s="404">
        <v>0</v>
      </c>
      <c r="L137" s="404">
        <v>0</v>
      </c>
      <c r="M137" s="404">
        <v>0</v>
      </c>
      <c r="N137" s="404">
        <v>0</v>
      </c>
      <c r="O137" s="404">
        <v>0</v>
      </c>
      <c r="P137" s="404">
        <v>0</v>
      </c>
      <c r="Q137" s="404">
        <v>0</v>
      </c>
      <c r="R137" s="404">
        <v>0</v>
      </c>
      <c r="S137" s="404">
        <v>0</v>
      </c>
      <c r="T137" s="404">
        <v>0</v>
      </c>
      <c r="U137" s="404">
        <v>0</v>
      </c>
      <c r="V137" s="404">
        <v>0</v>
      </c>
      <c r="W137" s="404">
        <v>0</v>
      </c>
      <c r="X137" s="404">
        <v>0</v>
      </c>
      <c r="Y137" s="404">
        <v>0</v>
      </c>
      <c r="Z137" s="404">
        <v>0</v>
      </c>
      <c r="AA137" s="404">
        <v>0</v>
      </c>
      <c r="AB137" s="404">
        <v>0</v>
      </c>
      <c r="AC137" s="404">
        <v>0</v>
      </c>
      <c r="AD137" s="404">
        <v>0</v>
      </c>
      <c r="AE137" s="404">
        <v>0</v>
      </c>
      <c r="AF137" s="404">
        <v>0</v>
      </c>
      <c r="AG137" s="404">
        <v>0</v>
      </c>
      <c r="AH137" s="404">
        <v>0</v>
      </c>
      <c r="AI137" s="404">
        <v>0</v>
      </c>
      <c r="AJ137" s="404">
        <v>0</v>
      </c>
      <c r="AK137" s="404">
        <v>0</v>
      </c>
      <c r="AL137" s="404">
        <v>0</v>
      </c>
      <c r="AM137" s="404">
        <v>0</v>
      </c>
      <c r="AN137" s="404">
        <v>0</v>
      </c>
      <c r="AO137" s="404">
        <v>0</v>
      </c>
      <c r="AP137" s="404">
        <v>0</v>
      </c>
      <c r="AQ137" s="404">
        <v>0</v>
      </c>
      <c r="AR137" s="404">
        <v>0</v>
      </c>
      <c r="AS137" s="404">
        <v>0</v>
      </c>
      <c r="AT137" s="404">
        <v>0</v>
      </c>
      <c r="AU137" s="404">
        <v>0</v>
      </c>
      <c r="AV137" s="404">
        <v>0</v>
      </c>
      <c r="AW137" s="404">
        <v>0</v>
      </c>
      <c r="AX137" s="404">
        <v>0</v>
      </c>
      <c r="AY137" s="404">
        <v>0</v>
      </c>
      <c r="AZ137" s="404">
        <v>0</v>
      </c>
      <c r="BA137" s="404">
        <v>0</v>
      </c>
      <c r="BB137" s="404">
        <v>0</v>
      </c>
      <c r="BC137" s="404">
        <v>0</v>
      </c>
      <c r="BD137" s="404">
        <v>0</v>
      </c>
      <c r="BE137" s="404">
        <v>0</v>
      </c>
      <c r="BF137" s="404">
        <v>0</v>
      </c>
      <c r="BG137" s="404">
        <v>0</v>
      </c>
      <c r="BH137" s="404">
        <v>0</v>
      </c>
      <c r="BI137" s="404">
        <v>0</v>
      </c>
      <c r="BJ137" s="404">
        <v>0</v>
      </c>
      <c r="BK137" s="404">
        <v>0</v>
      </c>
      <c r="BL137" s="404">
        <v>0</v>
      </c>
      <c r="BM137" s="404">
        <v>0</v>
      </c>
      <c r="BN137" s="404">
        <v>0</v>
      </c>
      <c r="BO137" s="404">
        <v>0</v>
      </c>
      <c r="BP137" s="404">
        <v>0</v>
      </c>
      <c r="BQ137" s="404">
        <v>0</v>
      </c>
      <c r="BR137" s="404">
        <v>0</v>
      </c>
      <c r="BS137" s="404">
        <v>0</v>
      </c>
      <c r="BT137" s="404">
        <v>0</v>
      </c>
      <c r="BU137" s="404">
        <v>0</v>
      </c>
      <c r="BV137" s="404">
        <v>0</v>
      </c>
      <c r="BW137" s="404">
        <v>0</v>
      </c>
      <c r="BX137" s="404">
        <v>0</v>
      </c>
      <c r="BY137" s="404">
        <v>0</v>
      </c>
      <c r="BZ137" s="404">
        <v>0</v>
      </c>
      <c r="CA137" s="404">
        <v>0</v>
      </c>
      <c r="CB137" s="404">
        <v>0</v>
      </c>
      <c r="CC137" s="404">
        <v>0</v>
      </c>
      <c r="CD137" s="404">
        <v>0</v>
      </c>
      <c r="CE137" s="404">
        <v>0</v>
      </c>
      <c r="CF137" s="404">
        <v>0</v>
      </c>
      <c r="CG137" s="404">
        <v>0</v>
      </c>
      <c r="CH137" s="404">
        <v>0</v>
      </c>
      <c r="CI137" s="404">
        <v>0</v>
      </c>
      <c r="CJ137" s="404">
        <v>0</v>
      </c>
      <c r="CK137" s="404">
        <v>0</v>
      </c>
      <c r="CL137" s="404">
        <v>0</v>
      </c>
      <c r="CM137" s="404">
        <v>0</v>
      </c>
      <c r="CN137" s="404">
        <v>0</v>
      </c>
      <c r="CO137" s="404">
        <v>0</v>
      </c>
      <c r="CP137" s="404">
        <v>0</v>
      </c>
      <c r="CQ137" s="404">
        <v>0</v>
      </c>
      <c r="CR137" s="404">
        <v>0</v>
      </c>
    </row>
    <row r="138" spans="1:96" s="404" customFormat="1" x14ac:dyDescent="0.3">
      <c r="A138" s="404">
        <v>379</v>
      </c>
      <c r="B138" s="405">
        <v>379</v>
      </c>
      <c r="C138" s="404">
        <v>379</v>
      </c>
      <c r="D138" s="404" t="s">
        <v>118</v>
      </c>
      <c r="E138" s="404" t="s">
        <v>454</v>
      </c>
      <c r="F138" s="404">
        <v>653296</v>
      </c>
      <c r="G138" s="404">
        <v>11206707</v>
      </c>
      <c r="H138" s="404">
        <v>1066677</v>
      </c>
      <c r="I138" s="404">
        <v>2057055</v>
      </c>
      <c r="J138" s="404">
        <v>696158</v>
      </c>
      <c r="K138" s="404">
        <v>1054206</v>
      </c>
      <c r="L138" s="404">
        <v>26476161</v>
      </c>
      <c r="M138" s="404">
        <v>571197</v>
      </c>
      <c r="N138" s="404">
        <v>349355</v>
      </c>
      <c r="O138" s="404">
        <v>3038869</v>
      </c>
      <c r="P138" s="404">
        <v>1025145</v>
      </c>
      <c r="Q138" s="404">
        <v>337091</v>
      </c>
      <c r="R138" s="404">
        <v>406266</v>
      </c>
      <c r="S138" s="404">
        <v>1345733</v>
      </c>
      <c r="T138" s="404">
        <v>7187922</v>
      </c>
      <c r="U138" s="404">
        <v>9874254</v>
      </c>
      <c r="V138" s="404">
        <v>8137036</v>
      </c>
      <c r="W138" s="404">
        <v>3543994</v>
      </c>
      <c r="X138" s="404">
        <v>3903424</v>
      </c>
      <c r="Y138" s="404">
        <v>6299949</v>
      </c>
      <c r="Z138" s="404">
        <v>3138697</v>
      </c>
      <c r="AA138" s="404">
        <v>81026</v>
      </c>
      <c r="AB138" s="404">
        <v>5696287</v>
      </c>
      <c r="AC138" s="404">
        <v>1310071</v>
      </c>
      <c r="AD138" s="404">
        <v>1222779</v>
      </c>
      <c r="AE138" s="404">
        <v>726085</v>
      </c>
      <c r="AF138" s="404">
        <v>15581819</v>
      </c>
      <c r="AG138" s="404">
        <v>2120485</v>
      </c>
      <c r="AH138" s="404">
        <v>3191510</v>
      </c>
      <c r="AI138" s="404">
        <v>2699796</v>
      </c>
      <c r="AJ138" s="404">
        <v>970138</v>
      </c>
      <c r="AK138" s="404">
        <v>9431522</v>
      </c>
      <c r="AL138" s="404">
        <v>3098236</v>
      </c>
      <c r="AM138" s="404">
        <v>2155182</v>
      </c>
      <c r="AN138" s="404">
        <v>1886969</v>
      </c>
      <c r="AO138" s="404">
        <v>130439</v>
      </c>
      <c r="AP138" s="404">
        <v>3208240</v>
      </c>
      <c r="AQ138" s="404">
        <v>4734056</v>
      </c>
      <c r="AR138" s="404">
        <v>0</v>
      </c>
      <c r="AS138" s="404">
        <v>468685</v>
      </c>
      <c r="AT138" s="404">
        <v>1625098</v>
      </c>
      <c r="AU138" s="404">
        <v>687450</v>
      </c>
      <c r="AV138" s="404">
        <v>207732</v>
      </c>
      <c r="AW138" s="404">
        <v>304768</v>
      </c>
      <c r="AX138" s="404">
        <v>4186864</v>
      </c>
      <c r="AY138" s="404">
        <v>1139627</v>
      </c>
      <c r="AZ138" s="404">
        <v>19501822</v>
      </c>
      <c r="BA138" s="404">
        <v>5034546</v>
      </c>
      <c r="BB138" s="404">
        <v>3706897</v>
      </c>
      <c r="BC138" s="404">
        <v>3021275</v>
      </c>
      <c r="BD138" s="404">
        <v>1467796</v>
      </c>
      <c r="BE138" s="404">
        <v>1558819</v>
      </c>
      <c r="BF138" s="404">
        <v>286679</v>
      </c>
      <c r="BG138" s="404">
        <v>1154663</v>
      </c>
      <c r="BH138" s="404">
        <v>2726940</v>
      </c>
      <c r="BI138" s="404">
        <v>7606054</v>
      </c>
      <c r="BJ138" s="404">
        <v>441703</v>
      </c>
      <c r="BK138" s="404">
        <v>276211</v>
      </c>
      <c r="BL138" s="404">
        <v>8871767</v>
      </c>
      <c r="BM138" s="404">
        <v>12073227</v>
      </c>
      <c r="BN138" s="404">
        <v>8107772</v>
      </c>
      <c r="BO138" s="404">
        <v>142397</v>
      </c>
      <c r="BP138" s="404">
        <v>3664273</v>
      </c>
      <c r="BQ138" s="404">
        <v>2223106</v>
      </c>
      <c r="BR138" s="404">
        <v>10794749</v>
      </c>
      <c r="BS138" s="404">
        <v>1796627</v>
      </c>
      <c r="BT138" s="404">
        <v>1729893</v>
      </c>
      <c r="BU138" s="404">
        <v>2685808</v>
      </c>
      <c r="BV138" s="404">
        <v>2902805</v>
      </c>
      <c r="BW138" s="404">
        <v>0</v>
      </c>
      <c r="BX138" s="404">
        <v>1220406</v>
      </c>
      <c r="BY138" s="404">
        <v>3637214</v>
      </c>
      <c r="BZ138" s="404">
        <v>623704</v>
      </c>
      <c r="CA138" s="404">
        <v>0</v>
      </c>
      <c r="CB138" s="404">
        <v>5851443</v>
      </c>
      <c r="CC138" s="404">
        <v>80687117</v>
      </c>
      <c r="CD138" s="404">
        <v>29546665</v>
      </c>
      <c r="CE138" s="404">
        <v>1440486</v>
      </c>
      <c r="CF138" s="404">
        <v>3210389</v>
      </c>
      <c r="CG138" s="404">
        <v>302379</v>
      </c>
      <c r="CH138" s="404">
        <v>1462135</v>
      </c>
      <c r="CI138" s="404">
        <v>56556184</v>
      </c>
      <c r="CJ138" s="404">
        <v>12676704</v>
      </c>
      <c r="CK138" s="404">
        <v>1445750</v>
      </c>
      <c r="CL138" s="404">
        <v>3189827</v>
      </c>
      <c r="CM138" s="404">
        <v>1175051</v>
      </c>
      <c r="CN138" s="404">
        <v>14036450</v>
      </c>
      <c r="CO138" s="404">
        <v>3338942</v>
      </c>
      <c r="CP138" s="404">
        <v>2122278</v>
      </c>
      <c r="CQ138" s="404">
        <v>2910223</v>
      </c>
      <c r="CR138" s="404">
        <v>13207965</v>
      </c>
    </row>
    <row r="139" spans="1:96" s="404" customFormat="1" x14ac:dyDescent="0.3">
      <c r="A139" s="404">
        <v>380</v>
      </c>
      <c r="B139" s="405">
        <v>380</v>
      </c>
      <c r="C139" s="404">
        <v>380</v>
      </c>
      <c r="D139" s="404" t="s">
        <v>121</v>
      </c>
      <c r="E139" s="404" t="s">
        <v>455</v>
      </c>
      <c r="F139" s="404">
        <v>1421</v>
      </c>
      <c r="G139" s="404">
        <v>24377</v>
      </c>
      <c r="H139" s="404">
        <v>122540</v>
      </c>
      <c r="I139" s="404">
        <v>27316</v>
      </c>
      <c r="J139" s="404">
        <v>40392</v>
      </c>
      <c r="K139" s="404">
        <v>43980</v>
      </c>
      <c r="L139" s="404">
        <v>245467</v>
      </c>
      <c r="M139" s="404">
        <v>3960</v>
      </c>
      <c r="N139" s="404">
        <v>2861</v>
      </c>
      <c r="O139" s="404">
        <v>0</v>
      </c>
      <c r="P139" s="404">
        <v>10752</v>
      </c>
      <c r="Q139" s="404">
        <v>2964</v>
      </c>
      <c r="R139" s="404">
        <v>5135</v>
      </c>
      <c r="S139" s="404">
        <v>17058</v>
      </c>
      <c r="T139" s="404">
        <v>750</v>
      </c>
      <c r="U139" s="404">
        <v>21744</v>
      </c>
      <c r="V139" s="404">
        <v>242394</v>
      </c>
      <c r="W139" s="404">
        <v>35653</v>
      </c>
      <c r="X139" s="404">
        <v>0</v>
      </c>
      <c r="Y139" s="404">
        <v>62667</v>
      </c>
      <c r="Z139" s="404">
        <v>65679</v>
      </c>
      <c r="AA139" s="404">
        <v>7167</v>
      </c>
      <c r="AB139" s="404">
        <v>316776</v>
      </c>
      <c r="AC139" s="404">
        <v>16785</v>
      </c>
      <c r="AD139" s="404">
        <v>4995</v>
      </c>
      <c r="AE139" s="404">
        <v>10579</v>
      </c>
      <c r="AF139" s="404">
        <v>798068</v>
      </c>
      <c r="AG139" s="404">
        <v>0</v>
      </c>
      <c r="AH139" s="404">
        <v>3202</v>
      </c>
      <c r="AI139" s="404">
        <v>236487</v>
      </c>
      <c r="AJ139" s="404">
        <v>8851</v>
      </c>
      <c r="AK139" s="404">
        <v>17368</v>
      </c>
      <c r="AL139" s="404">
        <v>72142</v>
      </c>
      <c r="AM139" s="404">
        <v>181461</v>
      </c>
      <c r="AN139" s="404">
        <v>25627</v>
      </c>
      <c r="AO139" s="404">
        <v>1365</v>
      </c>
      <c r="AP139" s="404">
        <v>9392</v>
      </c>
      <c r="AQ139" s="404">
        <v>128974</v>
      </c>
      <c r="AR139" s="404">
        <v>0</v>
      </c>
      <c r="AS139" s="404">
        <v>7544</v>
      </c>
      <c r="AT139" s="404">
        <v>1785</v>
      </c>
      <c r="AU139" s="404">
        <v>5634</v>
      </c>
      <c r="AV139" s="404">
        <v>1839</v>
      </c>
      <c r="AW139" s="404">
        <v>2543</v>
      </c>
      <c r="AX139" s="404">
        <v>424162</v>
      </c>
      <c r="AY139" s="404">
        <v>61809</v>
      </c>
      <c r="AZ139" s="404">
        <v>182352</v>
      </c>
      <c r="BA139" s="404">
        <v>26020</v>
      </c>
      <c r="BB139" s="404">
        <v>276224</v>
      </c>
      <c r="BC139" s="404">
        <v>7732</v>
      </c>
      <c r="BD139" s="404">
        <v>24882</v>
      </c>
      <c r="BE139" s="404">
        <v>860</v>
      </c>
      <c r="BF139" s="404">
        <v>2307</v>
      </c>
      <c r="BG139" s="404">
        <v>32597</v>
      </c>
      <c r="BH139" s="404">
        <v>109237</v>
      </c>
      <c r="BI139" s="404">
        <v>231768</v>
      </c>
      <c r="BJ139" s="404">
        <v>4780</v>
      </c>
      <c r="BK139" s="404">
        <v>643</v>
      </c>
      <c r="BL139" s="404">
        <v>122007</v>
      </c>
      <c r="BM139" s="404">
        <v>660455</v>
      </c>
      <c r="BN139" s="404">
        <v>12714</v>
      </c>
      <c r="BO139" s="404">
        <v>805</v>
      </c>
      <c r="BP139" s="404">
        <v>26044</v>
      </c>
      <c r="BQ139" s="404">
        <v>69881</v>
      </c>
      <c r="BR139" s="404">
        <v>0</v>
      </c>
      <c r="BS139" s="404">
        <v>0</v>
      </c>
      <c r="BT139" s="404">
        <v>825</v>
      </c>
      <c r="BU139" s="404">
        <v>37667</v>
      </c>
      <c r="BV139" s="404">
        <v>9007</v>
      </c>
      <c r="BW139" s="404">
        <v>0</v>
      </c>
      <c r="BX139" s="404">
        <v>32018</v>
      </c>
      <c r="BY139" s="404">
        <v>44108</v>
      </c>
      <c r="BZ139" s="404">
        <v>2646</v>
      </c>
      <c r="CA139" s="404">
        <v>0</v>
      </c>
      <c r="CB139" s="404">
        <v>953915</v>
      </c>
      <c r="CC139" s="404">
        <v>2267753</v>
      </c>
      <c r="CD139" s="404">
        <v>2132251</v>
      </c>
      <c r="CE139" s="404">
        <v>587</v>
      </c>
      <c r="CF139" s="404">
        <v>64297</v>
      </c>
      <c r="CG139" s="404">
        <v>36204</v>
      </c>
      <c r="CH139" s="404">
        <v>6050</v>
      </c>
      <c r="CI139" s="404">
        <v>1703296</v>
      </c>
      <c r="CJ139" s="404">
        <v>180571</v>
      </c>
      <c r="CK139" s="404">
        <v>24134</v>
      </c>
      <c r="CL139" s="404">
        <v>16121</v>
      </c>
      <c r="CM139" s="404">
        <v>69099</v>
      </c>
      <c r="CN139" s="404">
        <v>27708</v>
      </c>
      <c r="CO139" s="404">
        <v>50950</v>
      </c>
      <c r="CP139" s="404">
        <v>23474</v>
      </c>
      <c r="CQ139" s="404">
        <v>29001</v>
      </c>
      <c r="CR139" s="404">
        <v>137023</v>
      </c>
    </row>
    <row r="140" spans="1:96" s="404" customFormat="1" x14ac:dyDescent="0.3">
      <c r="A140" s="404">
        <v>381</v>
      </c>
      <c r="B140" s="405">
        <v>381</v>
      </c>
      <c r="C140" s="404">
        <v>381</v>
      </c>
      <c r="D140" s="404" t="s">
        <v>113</v>
      </c>
      <c r="E140" s="404" t="s">
        <v>456</v>
      </c>
      <c r="F140" s="404">
        <v>0</v>
      </c>
      <c r="G140" s="404">
        <v>0</v>
      </c>
      <c r="H140" s="404">
        <v>4411461</v>
      </c>
      <c r="I140" s="404">
        <v>16040735</v>
      </c>
      <c r="J140" s="404">
        <v>9328712</v>
      </c>
      <c r="K140" s="404">
        <v>1170161</v>
      </c>
      <c r="L140" s="404">
        <v>85294632</v>
      </c>
      <c r="M140" s="404">
        <v>4699842</v>
      </c>
      <c r="N140" s="404">
        <v>0</v>
      </c>
      <c r="O140" s="404">
        <v>4484815</v>
      </c>
      <c r="P140" s="404">
        <v>7614154</v>
      </c>
      <c r="Q140" s="404">
        <v>0</v>
      </c>
      <c r="R140" s="404">
        <v>4437514</v>
      </c>
      <c r="S140" s="404">
        <v>0</v>
      </c>
      <c r="T140" s="404">
        <v>0</v>
      </c>
      <c r="U140" s="404">
        <v>0</v>
      </c>
      <c r="V140" s="404">
        <v>48336021</v>
      </c>
      <c r="W140" s="404">
        <v>0</v>
      </c>
      <c r="X140" s="404">
        <v>4724055</v>
      </c>
      <c r="Y140" s="404">
        <v>0</v>
      </c>
      <c r="Z140" s="404">
        <v>13333104</v>
      </c>
      <c r="AA140" s="404">
        <v>0</v>
      </c>
      <c r="AB140" s="404">
        <v>15180335</v>
      </c>
      <c r="AC140" s="404">
        <v>16721827</v>
      </c>
      <c r="AD140" s="404">
        <v>822832</v>
      </c>
      <c r="AE140" s="404">
        <v>2921251</v>
      </c>
      <c r="AF140" s="404">
        <v>55373542</v>
      </c>
      <c r="AG140" s="404">
        <v>0</v>
      </c>
      <c r="AH140" s="404">
        <v>7481226</v>
      </c>
      <c r="AI140" s="404">
        <v>0</v>
      </c>
      <c r="AJ140" s="404">
        <v>6170861</v>
      </c>
      <c r="AK140" s="404">
        <v>26204484</v>
      </c>
      <c r="AL140" s="404">
        <v>17171544</v>
      </c>
      <c r="AM140" s="404">
        <v>9128414</v>
      </c>
      <c r="AN140" s="404">
        <v>6775748</v>
      </c>
      <c r="AO140" s="404">
        <v>191208</v>
      </c>
      <c r="AP140" s="404">
        <v>0</v>
      </c>
      <c r="AQ140" s="404">
        <v>25228056</v>
      </c>
      <c r="AR140" s="404">
        <v>0</v>
      </c>
      <c r="AS140" s="404">
        <v>0</v>
      </c>
      <c r="AT140" s="404">
        <v>0</v>
      </c>
      <c r="AU140" s="404">
        <v>0</v>
      </c>
      <c r="AV140" s="404">
        <v>0</v>
      </c>
      <c r="AW140" s="404">
        <v>602650</v>
      </c>
      <c r="AX140" s="404">
        <v>14509732</v>
      </c>
      <c r="AY140" s="404">
        <v>3543881</v>
      </c>
      <c r="AZ140" s="404">
        <v>0</v>
      </c>
      <c r="BA140" s="404">
        <v>456225</v>
      </c>
      <c r="BB140" s="404">
        <v>19291729</v>
      </c>
      <c r="BC140" s="404">
        <v>0</v>
      </c>
      <c r="BD140" s="404">
        <v>5136925</v>
      </c>
      <c r="BE140" s="404">
        <v>3031612</v>
      </c>
      <c r="BF140" s="404">
        <v>1580081</v>
      </c>
      <c r="BG140" s="404">
        <v>10380985</v>
      </c>
      <c r="BH140" s="404">
        <v>18637816</v>
      </c>
      <c r="BI140" s="404">
        <v>40012395</v>
      </c>
      <c r="BJ140" s="404">
        <v>0</v>
      </c>
      <c r="BK140" s="404">
        <v>0</v>
      </c>
      <c r="BL140" s="404">
        <v>0</v>
      </c>
      <c r="BM140" s="404">
        <v>25942723</v>
      </c>
      <c r="BN140" s="404">
        <v>15598082</v>
      </c>
      <c r="BO140" s="404">
        <v>0</v>
      </c>
      <c r="BP140" s="404">
        <v>0</v>
      </c>
      <c r="BQ140" s="404">
        <v>9373664</v>
      </c>
      <c r="BR140" s="404">
        <v>0</v>
      </c>
      <c r="BS140" s="404">
        <v>0</v>
      </c>
      <c r="BT140" s="404">
        <v>0</v>
      </c>
      <c r="BU140" s="404">
        <v>10986367</v>
      </c>
      <c r="BV140" s="404">
        <v>0</v>
      </c>
      <c r="BW140" s="404">
        <v>0</v>
      </c>
      <c r="BX140" s="404">
        <v>6650916</v>
      </c>
      <c r="BY140" s="404">
        <v>19304005</v>
      </c>
      <c r="BZ140" s="404">
        <v>696870</v>
      </c>
      <c r="CA140" s="404">
        <v>0</v>
      </c>
      <c r="CB140" s="404">
        <v>22357249</v>
      </c>
      <c r="CC140" s="404">
        <v>0</v>
      </c>
      <c r="CD140" s="404">
        <v>168567836</v>
      </c>
      <c r="CE140" s="404">
        <v>6839632</v>
      </c>
      <c r="CF140" s="404">
        <v>7894519</v>
      </c>
      <c r="CG140" s="404">
        <v>4950727</v>
      </c>
      <c r="CH140" s="404">
        <v>10598905</v>
      </c>
      <c r="CI140" s="404">
        <v>1121788668</v>
      </c>
      <c r="CJ140" s="404">
        <v>10649197</v>
      </c>
      <c r="CK140" s="404">
        <v>4501609</v>
      </c>
      <c r="CL140" s="404">
        <v>0</v>
      </c>
      <c r="CM140" s="404">
        <v>2671695</v>
      </c>
      <c r="CN140" s="404">
        <v>12709746</v>
      </c>
      <c r="CO140" s="404">
        <v>15181354</v>
      </c>
      <c r="CP140" s="404">
        <v>13054318</v>
      </c>
      <c r="CQ140" s="404">
        <v>0</v>
      </c>
      <c r="CR140" s="404">
        <v>0</v>
      </c>
    </row>
    <row r="141" spans="1:96" s="404" customFormat="1" x14ac:dyDescent="0.3">
      <c r="A141" s="404">
        <v>382</v>
      </c>
      <c r="B141" s="405">
        <v>382</v>
      </c>
      <c r="C141" s="404">
        <v>382</v>
      </c>
      <c r="D141" s="404" t="s">
        <v>114</v>
      </c>
      <c r="E141" s="404" t="s">
        <v>457</v>
      </c>
      <c r="F141" s="404">
        <v>0</v>
      </c>
      <c r="G141" s="404">
        <v>0</v>
      </c>
      <c r="H141" s="404">
        <v>0</v>
      </c>
      <c r="I141" s="404">
        <v>0</v>
      </c>
      <c r="J141" s="404">
        <v>5059861</v>
      </c>
      <c r="K141" s="404">
        <v>0</v>
      </c>
      <c r="L141" s="404">
        <v>77281719</v>
      </c>
      <c r="M141" s="404">
        <v>0</v>
      </c>
      <c r="N141" s="404">
        <v>0</v>
      </c>
      <c r="O141" s="404">
        <v>0</v>
      </c>
      <c r="P141" s="404">
        <v>0</v>
      </c>
      <c r="Q141" s="404">
        <v>0</v>
      </c>
      <c r="R141" s="404">
        <v>0</v>
      </c>
      <c r="S141" s="404">
        <v>0</v>
      </c>
      <c r="T141" s="404">
        <v>0</v>
      </c>
      <c r="U141" s="404">
        <v>0</v>
      </c>
      <c r="V141" s="404">
        <v>0</v>
      </c>
      <c r="W141" s="404">
        <v>0</v>
      </c>
      <c r="X141" s="404">
        <v>0</v>
      </c>
      <c r="Y141" s="404">
        <v>0</v>
      </c>
      <c r="Z141" s="404">
        <v>0</v>
      </c>
      <c r="AA141" s="404">
        <v>0</v>
      </c>
      <c r="AB141" s="404">
        <v>34933663</v>
      </c>
      <c r="AC141" s="404">
        <v>0</v>
      </c>
      <c r="AD141" s="404">
        <v>0</v>
      </c>
      <c r="AE141" s="404">
        <v>0</v>
      </c>
      <c r="AF141" s="404">
        <v>0</v>
      </c>
      <c r="AG141" s="404">
        <v>0</v>
      </c>
      <c r="AH141" s="404">
        <v>0</v>
      </c>
      <c r="AI141" s="404">
        <v>0</v>
      </c>
      <c r="AJ141" s="404">
        <v>0</v>
      </c>
      <c r="AK141" s="404">
        <v>0</v>
      </c>
      <c r="AL141" s="404">
        <v>0</v>
      </c>
      <c r="AM141" s="404">
        <v>0</v>
      </c>
      <c r="AN141" s="404">
        <v>0</v>
      </c>
      <c r="AO141" s="404">
        <v>0</v>
      </c>
      <c r="AP141" s="404">
        <v>0</v>
      </c>
      <c r="AQ141" s="404">
        <v>0</v>
      </c>
      <c r="AR141" s="404">
        <v>0</v>
      </c>
      <c r="AS141" s="404">
        <v>0</v>
      </c>
      <c r="AT141" s="404">
        <v>0</v>
      </c>
      <c r="AU141" s="404">
        <v>0</v>
      </c>
      <c r="AV141" s="404">
        <v>0</v>
      </c>
      <c r="AW141" s="404">
        <v>0</v>
      </c>
      <c r="AX141" s="404">
        <v>0</v>
      </c>
      <c r="AY141" s="404">
        <v>0</v>
      </c>
      <c r="AZ141" s="404">
        <v>30861745</v>
      </c>
      <c r="BA141" s="404">
        <v>0</v>
      </c>
      <c r="BB141" s="404">
        <v>0</v>
      </c>
      <c r="BC141" s="404">
        <v>0</v>
      </c>
      <c r="BD141" s="404">
        <v>0</v>
      </c>
      <c r="BE141" s="404">
        <v>0</v>
      </c>
      <c r="BF141" s="404">
        <v>526398</v>
      </c>
      <c r="BG141" s="404">
        <v>0</v>
      </c>
      <c r="BH141" s="404">
        <v>0</v>
      </c>
      <c r="BI141" s="404">
        <v>54079889</v>
      </c>
      <c r="BJ141" s="404">
        <v>0</v>
      </c>
      <c r="BK141" s="404">
        <v>0</v>
      </c>
      <c r="BL141" s="404">
        <v>0</v>
      </c>
      <c r="BM141" s="404">
        <v>7542863</v>
      </c>
      <c r="BN141" s="404">
        <v>0</v>
      </c>
      <c r="BO141" s="404">
        <v>0</v>
      </c>
      <c r="BP141" s="404">
        <v>0</v>
      </c>
      <c r="BQ141" s="404">
        <v>0</v>
      </c>
      <c r="BR141" s="404">
        <v>0</v>
      </c>
      <c r="BS141" s="404">
        <v>0</v>
      </c>
      <c r="BT141" s="404">
        <v>0</v>
      </c>
      <c r="BU141" s="404">
        <v>0</v>
      </c>
      <c r="BV141" s="404">
        <v>0</v>
      </c>
      <c r="BW141" s="404">
        <v>0</v>
      </c>
      <c r="BX141" s="404">
        <v>0</v>
      </c>
      <c r="BY141" s="404">
        <v>0</v>
      </c>
      <c r="BZ141" s="404">
        <v>0</v>
      </c>
      <c r="CA141" s="404">
        <v>0</v>
      </c>
      <c r="CB141" s="404">
        <v>0</v>
      </c>
      <c r="CC141" s="404">
        <v>0</v>
      </c>
      <c r="CD141" s="404">
        <v>143727436</v>
      </c>
      <c r="CE141" s="404">
        <v>0</v>
      </c>
      <c r="CF141" s="404">
        <v>6753887</v>
      </c>
      <c r="CG141" s="404">
        <v>0</v>
      </c>
      <c r="CH141" s="404">
        <v>0</v>
      </c>
      <c r="CI141" s="404">
        <v>0</v>
      </c>
      <c r="CJ141" s="404">
        <v>13765049</v>
      </c>
      <c r="CK141" s="404">
        <v>0</v>
      </c>
      <c r="CL141" s="404">
        <v>0</v>
      </c>
      <c r="CM141" s="404">
        <v>0</v>
      </c>
      <c r="CN141" s="404">
        <v>0</v>
      </c>
      <c r="CO141" s="404">
        <v>0</v>
      </c>
      <c r="CP141" s="404">
        <v>0</v>
      </c>
      <c r="CQ141" s="404">
        <v>0</v>
      </c>
      <c r="CR141" s="404">
        <v>0</v>
      </c>
    </row>
    <row r="142" spans="1:96" s="404" customFormat="1" x14ac:dyDescent="0.3">
      <c r="A142" s="404">
        <v>383</v>
      </c>
      <c r="B142" s="405">
        <v>383</v>
      </c>
      <c r="C142" s="404">
        <v>383</v>
      </c>
      <c r="D142" s="404" t="s">
        <v>221</v>
      </c>
      <c r="E142" s="404" t="s">
        <v>458</v>
      </c>
      <c r="F142" s="404">
        <v>0</v>
      </c>
      <c r="G142" s="404">
        <v>0</v>
      </c>
      <c r="H142" s="404">
        <v>0</v>
      </c>
      <c r="I142" s="404">
        <v>0</v>
      </c>
      <c r="J142" s="404">
        <v>0</v>
      </c>
      <c r="K142" s="404">
        <v>0</v>
      </c>
      <c r="L142" s="404">
        <v>0</v>
      </c>
      <c r="M142" s="404">
        <v>0</v>
      </c>
      <c r="N142" s="404">
        <v>0</v>
      </c>
      <c r="O142" s="404">
        <v>0</v>
      </c>
      <c r="P142" s="404">
        <v>0</v>
      </c>
      <c r="Q142" s="404">
        <v>0</v>
      </c>
      <c r="R142" s="404">
        <v>0</v>
      </c>
      <c r="S142" s="404">
        <v>0</v>
      </c>
      <c r="T142" s="404">
        <v>0</v>
      </c>
      <c r="U142" s="404">
        <v>0</v>
      </c>
      <c r="V142" s="404">
        <v>0</v>
      </c>
      <c r="W142" s="404">
        <v>0</v>
      </c>
      <c r="X142" s="404">
        <v>0</v>
      </c>
      <c r="Y142" s="404">
        <v>0</v>
      </c>
      <c r="Z142" s="404">
        <v>0</v>
      </c>
      <c r="AA142" s="404">
        <v>0</v>
      </c>
      <c r="AB142" s="404">
        <v>0</v>
      </c>
      <c r="AC142" s="404">
        <v>0</v>
      </c>
      <c r="AD142" s="404">
        <v>0</v>
      </c>
      <c r="AE142" s="404">
        <v>0</v>
      </c>
      <c r="AF142" s="404">
        <v>39770</v>
      </c>
      <c r="AG142" s="404">
        <v>0</v>
      </c>
      <c r="AH142" s="404">
        <v>83006</v>
      </c>
      <c r="AI142" s="404">
        <v>0</v>
      </c>
      <c r="AJ142" s="404">
        <v>0</v>
      </c>
      <c r="AK142" s="404">
        <v>0</v>
      </c>
      <c r="AL142" s="404">
        <v>0</v>
      </c>
      <c r="AM142" s="404">
        <v>0</v>
      </c>
      <c r="AN142" s="404">
        <v>0</v>
      </c>
      <c r="AO142" s="404">
        <v>0</v>
      </c>
      <c r="AP142" s="404">
        <v>0</v>
      </c>
      <c r="AQ142" s="404">
        <v>0</v>
      </c>
      <c r="AR142" s="404">
        <v>0</v>
      </c>
      <c r="AS142" s="404">
        <v>0</v>
      </c>
      <c r="AT142" s="404">
        <v>0</v>
      </c>
      <c r="AU142" s="404">
        <v>0</v>
      </c>
      <c r="AV142" s="404">
        <v>0</v>
      </c>
      <c r="AW142" s="404">
        <v>0</v>
      </c>
      <c r="AX142" s="404">
        <v>0</v>
      </c>
      <c r="AY142" s="404">
        <v>0</v>
      </c>
      <c r="AZ142" s="404">
        <v>0</v>
      </c>
      <c r="BA142" s="404">
        <v>0</v>
      </c>
      <c r="BB142" s="404">
        <v>0</v>
      </c>
      <c r="BC142" s="404">
        <v>0</v>
      </c>
      <c r="BD142" s="404">
        <v>0</v>
      </c>
      <c r="BE142" s="404">
        <v>0</v>
      </c>
      <c r="BF142" s="404">
        <v>0</v>
      </c>
      <c r="BG142" s="404">
        <v>0</v>
      </c>
      <c r="BH142" s="404">
        <v>0</v>
      </c>
      <c r="BI142" s="404">
        <v>0</v>
      </c>
      <c r="BJ142" s="404">
        <v>0</v>
      </c>
      <c r="BK142" s="404">
        <v>0</v>
      </c>
      <c r="BL142" s="404">
        <v>0</v>
      </c>
      <c r="BM142" s="404">
        <v>0</v>
      </c>
      <c r="BN142" s="404">
        <v>0</v>
      </c>
      <c r="BO142" s="404">
        <v>0</v>
      </c>
      <c r="BP142" s="404">
        <v>0</v>
      </c>
      <c r="BQ142" s="404">
        <v>0</v>
      </c>
      <c r="BR142" s="404">
        <v>0</v>
      </c>
      <c r="BS142" s="404">
        <v>0</v>
      </c>
      <c r="BT142" s="404">
        <v>0</v>
      </c>
      <c r="BU142" s="404">
        <v>0</v>
      </c>
      <c r="BV142" s="404">
        <v>0</v>
      </c>
      <c r="BW142" s="404">
        <v>0</v>
      </c>
      <c r="BX142" s="404">
        <v>0</v>
      </c>
      <c r="BY142" s="404">
        <v>0</v>
      </c>
      <c r="BZ142" s="404">
        <v>0</v>
      </c>
      <c r="CA142" s="404">
        <v>0</v>
      </c>
      <c r="CB142" s="404">
        <v>0</v>
      </c>
      <c r="CC142" s="404">
        <v>0</v>
      </c>
      <c r="CD142" s="404">
        <v>0</v>
      </c>
      <c r="CE142" s="404">
        <v>0</v>
      </c>
      <c r="CF142" s="404">
        <v>0</v>
      </c>
      <c r="CG142" s="404">
        <v>0</v>
      </c>
      <c r="CH142" s="404">
        <v>0</v>
      </c>
      <c r="CI142" s="404">
        <v>1800</v>
      </c>
      <c r="CJ142" s="404">
        <v>0</v>
      </c>
      <c r="CK142" s="404">
        <v>0</v>
      </c>
      <c r="CL142" s="404">
        <v>0</v>
      </c>
      <c r="CM142" s="404">
        <v>0</v>
      </c>
      <c r="CN142" s="404">
        <v>0</v>
      </c>
      <c r="CO142" s="404">
        <v>0</v>
      </c>
      <c r="CP142" s="404">
        <v>0</v>
      </c>
      <c r="CQ142" s="404">
        <v>0</v>
      </c>
      <c r="CR142" s="404">
        <v>0</v>
      </c>
    </row>
    <row r="143" spans="1:96" s="404" customFormat="1" x14ac:dyDescent="0.3">
      <c r="A143" s="404">
        <v>384</v>
      </c>
      <c r="B143" s="405">
        <v>384</v>
      </c>
      <c r="C143" s="404">
        <v>384</v>
      </c>
      <c r="D143" s="404" t="s">
        <v>124</v>
      </c>
      <c r="E143" s="404" t="s">
        <v>459</v>
      </c>
      <c r="F143" s="404">
        <v>0</v>
      </c>
      <c r="G143" s="404">
        <v>0</v>
      </c>
      <c r="H143" s="404">
        <v>0</v>
      </c>
      <c r="I143" s="404">
        <v>0</v>
      </c>
      <c r="J143" s="404">
        <v>0</v>
      </c>
      <c r="K143" s="404">
        <v>0</v>
      </c>
      <c r="L143" s="404">
        <v>0</v>
      </c>
      <c r="M143" s="404">
        <v>0</v>
      </c>
      <c r="N143" s="404">
        <v>0</v>
      </c>
      <c r="O143" s="404">
        <v>0</v>
      </c>
      <c r="P143" s="404">
        <v>0</v>
      </c>
      <c r="Q143" s="404">
        <v>0</v>
      </c>
      <c r="R143" s="404">
        <v>0</v>
      </c>
      <c r="S143" s="404">
        <v>0</v>
      </c>
      <c r="T143" s="404">
        <v>0</v>
      </c>
      <c r="U143" s="404">
        <v>0</v>
      </c>
      <c r="V143" s="404">
        <v>0</v>
      </c>
      <c r="W143" s="404">
        <v>0</v>
      </c>
      <c r="X143" s="404">
        <v>0</v>
      </c>
      <c r="Y143" s="404">
        <v>0</v>
      </c>
      <c r="Z143" s="404">
        <v>0</v>
      </c>
      <c r="AA143" s="404">
        <v>0</v>
      </c>
      <c r="AB143" s="404">
        <v>0</v>
      </c>
      <c r="AC143" s="404">
        <v>0</v>
      </c>
      <c r="AD143" s="404">
        <v>0</v>
      </c>
      <c r="AE143" s="404">
        <v>0</v>
      </c>
      <c r="AF143" s="404">
        <v>0</v>
      </c>
      <c r="AG143" s="404">
        <v>0</v>
      </c>
      <c r="AH143" s="404">
        <v>0</v>
      </c>
      <c r="AI143" s="404">
        <v>0</v>
      </c>
      <c r="AJ143" s="404">
        <v>0</v>
      </c>
      <c r="AK143" s="404">
        <v>0</v>
      </c>
      <c r="AL143" s="404">
        <v>0</v>
      </c>
      <c r="AM143" s="404">
        <v>0</v>
      </c>
      <c r="AN143" s="404">
        <v>0</v>
      </c>
      <c r="AO143" s="404">
        <v>0</v>
      </c>
      <c r="AP143" s="404">
        <v>0</v>
      </c>
      <c r="AQ143" s="404">
        <v>0</v>
      </c>
      <c r="AR143" s="404">
        <v>0</v>
      </c>
      <c r="AS143" s="404">
        <v>0</v>
      </c>
      <c r="AT143" s="404">
        <v>0</v>
      </c>
      <c r="AU143" s="404">
        <v>0</v>
      </c>
      <c r="AV143" s="404">
        <v>0</v>
      </c>
      <c r="AW143" s="404">
        <v>0</v>
      </c>
      <c r="AX143" s="404">
        <v>0</v>
      </c>
      <c r="AY143" s="404">
        <v>0</v>
      </c>
      <c r="AZ143" s="404">
        <v>367461</v>
      </c>
      <c r="BA143" s="404">
        <v>0</v>
      </c>
      <c r="BB143" s="404">
        <v>0</v>
      </c>
      <c r="BC143" s="404">
        <v>0</v>
      </c>
      <c r="BD143" s="404">
        <v>0</v>
      </c>
      <c r="BE143" s="404">
        <v>0</v>
      </c>
      <c r="BF143" s="404">
        <v>0</v>
      </c>
      <c r="BG143" s="404">
        <v>0</v>
      </c>
      <c r="BH143" s="404">
        <v>0</v>
      </c>
      <c r="BI143" s="404">
        <v>0</v>
      </c>
      <c r="BJ143" s="404">
        <v>0</v>
      </c>
      <c r="BK143" s="404">
        <v>0</v>
      </c>
      <c r="BL143" s="404">
        <v>0</v>
      </c>
      <c r="BM143" s="404">
        <v>0</v>
      </c>
      <c r="BN143" s="404">
        <v>0</v>
      </c>
      <c r="BO143" s="404">
        <v>0</v>
      </c>
      <c r="BP143" s="404">
        <v>0</v>
      </c>
      <c r="BQ143" s="404">
        <v>0</v>
      </c>
      <c r="BR143" s="404">
        <v>0</v>
      </c>
      <c r="BS143" s="404">
        <v>0</v>
      </c>
      <c r="BT143" s="404">
        <v>0</v>
      </c>
      <c r="BU143" s="404">
        <v>0</v>
      </c>
      <c r="BV143" s="404">
        <v>0</v>
      </c>
      <c r="BW143" s="404">
        <v>0</v>
      </c>
      <c r="BX143" s="404">
        <v>0</v>
      </c>
      <c r="BY143" s="404">
        <v>0</v>
      </c>
      <c r="BZ143" s="404">
        <v>0</v>
      </c>
      <c r="CA143" s="404">
        <v>0</v>
      </c>
      <c r="CB143" s="404">
        <v>0</v>
      </c>
      <c r="CC143" s="404">
        <v>0</v>
      </c>
      <c r="CD143" s="404">
        <v>0</v>
      </c>
      <c r="CE143" s="404">
        <v>0</v>
      </c>
      <c r="CF143" s="404">
        <v>0</v>
      </c>
      <c r="CG143" s="404">
        <v>0</v>
      </c>
      <c r="CH143" s="404">
        <v>0</v>
      </c>
      <c r="CI143" s="404">
        <v>0</v>
      </c>
      <c r="CJ143" s="404">
        <v>0</v>
      </c>
      <c r="CK143" s="404">
        <v>0</v>
      </c>
      <c r="CL143" s="404">
        <v>0</v>
      </c>
      <c r="CM143" s="404">
        <v>0</v>
      </c>
      <c r="CN143" s="404">
        <v>0</v>
      </c>
      <c r="CO143" s="404">
        <v>0</v>
      </c>
      <c r="CP143" s="404">
        <v>0</v>
      </c>
      <c r="CQ143" s="404">
        <v>0</v>
      </c>
      <c r="CR143" s="404">
        <v>0</v>
      </c>
    </row>
    <row r="144" spans="1:96" s="404" customFormat="1" x14ac:dyDescent="0.3">
      <c r="A144" s="404">
        <v>385</v>
      </c>
      <c r="B144" s="405">
        <v>385</v>
      </c>
      <c r="C144" s="404">
        <v>385</v>
      </c>
      <c r="D144" s="404" t="s">
        <v>115</v>
      </c>
      <c r="E144" s="404" t="s">
        <v>460</v>
      </c>
      <c r="F144" s="404">
        <v>893042</v>
      </c>
      <c r="G144" s="404">
        <v>25931141</v>
      </c>
      <c r="H144" s="404">
        <v>2085662</v>
      </c>
      <c r="I144" s="404">
        <v>7237278</v>
      </c>
      <c r="J144" s="404">
        <v>2117927</v>
      </c>
      <c r="K144" s="404">
        <v>2297633</v>
      </c>
      <c r="L144" s="404">
        <v>87746921</v>
      </c>
      <c r="M144" s="404">
        <v>1290217</v>
      </c>
      <c r="N144" s="404">
        <v>961407</v>
      </c>
      <c r="O144" s="404">
        <v>5098164</v>
      </c>
      <c r="P144" s="404">
        <v>2150536</v>
      </c>
      <c r="Q144" s="404">
        <v>345480</v>
      </c>
      <c r="R144" s="404">
        <v>696649</v>
      </c>
      <c r="S144" s="404">
        <v>4796993</v>
      </c>
      <c r="T144" s="404">
        <v>13600095</v>
      </c>
      <c r="U144" s="404">
        <v>29844846</v>
      </c>
      <c r="V144" s="404">
        <v>33332928</v>
      </c>
      <c r="W144" s="404">
        <v>11452292</v>
      </c>
      <c r="X144" s="404">
        <v>4250769</v>
      </c>
      <c r="Y144" s="404">
        <v>20255298</v>
      </c>
      <c r="Z144" s="404">
        <v>7789170</v>
      </c>
      <c r="AA144" s="404">
        <v>96172</v>
      </c>
      <c r="AB144" s="404">
        <v>17966083</v>
      </c>
      <c r="AC144" s="404">
        <v>3120894</v>
      </c>
      <c r="AD144" s="404">
        <v>2182486</v>
      </c>
      <c r="AE144" s="404">
        <v>937624</v>
      </c>
      <c r="AF144" s="404">
        <v>45472734</v>
      </c>
      <c r="AG144" s="404">
        <v>4034828</v>
      </c>
      <c r="AH144" s="404">
        <v>16468696</v>
      </c>
      <c r="AI144" s="404">
        <v>8002296</v>
      </c>
      <c r="AJ144" s="404">
        <v>1103834</v>
      </c>
      <c r="AK144" s="404">
        <v>12124317</v>
      </c>
      <c r="AL144" s="404">
        <v>10928795</v>
      </c>
      <c r="AM144" s="404">
        <v>9007455</v>
      </c>
      <c r="AN144" s="404">
        <v>5401972</v>
      </c>
      <c r="AO144" s="404">
        <v>200460</v>
      </c>
      <c r="AP144" s="404">
        <v>3290266</v>
      </c>
      <c r="AQ144" s="404">
        <v>14050947</v>
      </c>
      <c r="AR144" s="404">
        <v>0</v>
      </c>
      <c r="AS144" s="404">
        <v>1676347</v>
      </c>
      <c r="AT144" s="404">
        <v>2469365</v>
      </c>
      <c r="AU144" s="404">
        <v>1453754</v>
      </c>
      <c r="AV144" s="404">
        <v>270171</v>
      </c>
      <c r="AW144" s="404">
        <v>1216387</v>
      </c>
      <c r="AX144" s="404">
        <v>10931219</v>
      </c>
      <c r="AY144" s="404">
        <v>2931372</v>
      </c>
      <c r="AZ144" s="404">
        <v>301785989</v>
      </c>
      <c r="BA144" s="404">
        <v>9060063</v>
      </c>
      <c r="BB144" s="404">
        <v>11884192</v>
      </c>
      <c r="BC144" s="404">
        <v>7233474</v>
      </c>
      <c r="BD144" s="404">
        <v>2694422</v>
      </c>
      <c r="BE144" s="404">
        <v>5267169</v>
      </c>
      <c r="BF144" s="404">
        <v>352660</v>
      </c>
      <c r="BG144" s="404">
        <v>1613510</v>
      </c>
      <c r="BH144" s="404">
        <v>5362790</v>
      </c>
      <c r="BI144" s="404">
        <v>40972010</v>
      </c>
      <c r="BJ144" s="404">
        <v>612496</v>
      </c>
      <c r="BK144" s="404">
        <v>286023</v>
      </c>
      <c r="BL144" s="404">
        <v>72983983</v>
      </c>
      <c r="BM144" s="404">
        <v>36594095</v>
      </c>
      <c r="BN144" s="404">
        <v>20160217</v>
      </c>
      <c r="BO144" s="404">
        <v>327426</v>
      </c>
      <c r="BP144" s="404">
        <v>5720229</v>
      </c>
      <c r="BQ144" s="404">
        <v>3801104</v>
      </c>
      <c r="BR144" s="404">
        <v>18014233</v>
      </c>
      <c r="BS144" s="404">
        <v>6260072</v>
      </c>
      <c r="BT144" s="404">
        <v>4244517</v>
      </c>
      <c r="BU144" s="404">
        <v>6240746</v>
      </c>
      <c r="BV144" s="404">
        <v>11087651</v>
      </c>
      <c r="BW144" s="404">
        <v>0</v>
      </c>
      <c r="BX144" s="404">
        <v>4337434</v>
      </c>
      <c r="BY144" s="404">
        <v>14595878</v>
      </c>
      <c r="BZ144" s="404">
        <v>780342</v>
      </c>
      <c r="CA144" s="404">
        <v>0</v>
      </c>
      <c r="CB144" s="404">
        <v>20853143</v>
      </c>
      <c r="CC144" s="404">
        <v>686020721</v>
      </c>
      <c r="CD144" s="404">
        <v>136488231</v>
      </c>
      <c r="CE144" s="404">
        <v>2675189</v>
      </c>
      <c r="CF144" s="404">
        <v>10061996</v>
      </c>
      <c r="CG144" s="404">
        <v>1016827</v>
      </c>
      <c r="CH144" s="404">
        <v>6240949</v>
      </c>
      <c r="CI144" s="404">
        <v>781609162</v>
      </c>
      <c r="CJ144" s="404">
        <v>38116783</v>
      </c>
      <c r="CK144" s="404">
        <v>2080924</v>
      </c>
      <c r="CL144" s="404">
        <v>6400361</v>
      </c>
      <c r="CM144" s="404">
        <v>1824764</v>
      </c>
      <c r="CN144" s="404">
        <v>35274216</v>
      </c>
      <c r="CO144" s="404">
        <v>9040040</v>
      </c>
      <c r="CP144" s="404">
        <v>5294125</v>
      </c>
      <c r="CQ144" s="404">
        <v>5322457</v>
      </c>
      <c r="CR144" s="404">
        <v>48245263</v>
      </c>
    </row>
    <row r="145" spans="1:96" s="404" customFormat="1" x14ac:dyDescent="0.3">
      <c r="A145" s="404">
        <v>386</v>
      </c>
      <c r="B145" s="405">
        <v>386</v>
      </c>
      <c r="C145" s="404">
        <v>386</v>
      </c>
      <c r="D145" s="404" t="s">
        <v>194</v>
      </c>
      <c r="E145" s="404" t="s">
        <v>461</v>
      </c>
      <c r="F145" s="404">
        <v>0</v>
      </c>
      <c r="G145" s="404">
        <v>208000</v>
      </c>
      <c r="H145" s="404">
        <v>0</v>
      </c>
      <c r="I145" s="404">
        <v>0</v>
      </c>
      <c r="J145" s="404">
        <v>290000</v>
      </c>
      <c r="K145" s="404">
        <v>0</v>
      </c>
      <c r="L145" s="404">
        <v>0</v>
      </c>
      <c r="M145" s="404">
        <v>0</v>
      </c>
      <c r="N145" s="404">
        <v>0</v>
      </c>
      <c r="O145" s="404">
        <v>0</v>
      </c>
      <c r="P145" s="404">
        <v>24000</v>
      </c>
      <c r="Q145" s="404">
        <v>0</v>
      </c>
      <c r="R145" s="404">
        <v>0</v>
      </c>
      <c r="S145" s="404">
        <v>0</v>
      </c>
      <c r="T145" s="404">
        <v>0</v>
      </c>
      <c r="U145" s="404">
        <v>0</v>
      </c>
      <c r="V145" s="404">
        <v>0</v>
      </c>
      <c r="W145" s="404">
        <v>0</v>
      </c>
      <c r="X145" s="404">
        <v>0</v>
      </c>
      <c r="Y145" s="404">
        <v>0</v>
      </c>
      <c r="Z145" s="404">
        <v>0</v>
      </c>
      <c r="AA145" s="404">
        <v>0</v>
      </c>
      <c r="AB145" s="404">
        <v>1768044</v>
      </c>
      <c r="AC145" s="404">
        <v>0</v>
      </c>
      <c r="AD145" s="404">
        <v>0</v>
      </c>
      <c r="AE145" s="404">
        <v>0</v>
      </c>
      <c r="AF145" s="404">
        <v>0</v>
      </c>
      <c r="AG145" s="404">
        <v>0</v>
      </c>
      <c r="AH145" s="404">
        <v>0</v>
      </c>
      <c r="AI145" s="404">
        <v>0</v>
      </c>
      <c r="AJ145" s="404">
        <v>0</v>
      </c>
      <c r="AK145" s="404">
        <v>0</v>
      </c>
      <c r="AL145" s="404">
        <v>0</v>
      </c>
      <c r="AM145" s="404">
        <v>124203</v>
      </c>
      <c r="AN145" s="404">
        <v>0</v>
      </c>
      <c r="AO145" s="404">
        <v>0</v>
      </c>
      <c r="AP145" s="404">
        <v>0</v>
      </c>
      <c r="AQ145" s="404">
        <v>126935</v>
      </c>
      <c r="AR145" s="404">
        <v>0</v>
      </c>
      <c r="AS145" s="404">
        <v>0</v>
      </c>
      <c r="AT145" s="404">
        <v>0</v>
      </c>
      <c r="AU145" s="404">
        <v>0</v>
      </c>
      <c r="AV145" s="404">
        <v>0</v>
      </c>
      <c r="AW145" s="404">
        <v>0</v>
      </c>
      <c r="AX145" s="404">
        <v>155975</v>
      </c>
      <c r="AY145" s="404">
        <v>10000</v>
      </c>
      <c r="AZ145" s="404">
        <v>0</v>
      </c>
      <c r="BA145" s="404">
        <v>0</v>
      </c>
      <c r="BB145" s="404">
        <v>200645</v>
      </c>
      <c r="BC145" s="404">
        <v>0</v>
      </c>
      <c r="BD145" s="404">
        <v>0</v>
      </c>
      <c r="BE145" s="404">
        <v>0</v>
      </c>
      <c r="BF145" s="404">
        <v>0</v>
      </c>
      <c r="BG145" s="404">
        <v>0</v>
      </c>
      <c r="BH145" s="404">
        <v>48217</v>
      </c>
      <c r="BI145" s="404">
        <v>7088477</v>
      </c>
      <c r="BJ145" s="404">
        <v>0</v>
      </c>
      <c r="BK145" s="404">
        <v>0</v>
      </c>
      <c r="BL145" s="404">
        <v>0</v>
      </c>
      <c r="BM145" s="404">
        <v>1275600</v>
      </c>
      <c r="BN145" s="404">
        <v>0</v>
      </c>
      <c r="BO145" s="404">
        <v>0</v>
      </c>
      <c r="BP145" s="404">
        <v>0</v>
      </c>
      <c r="BQ145" s="404">
        <v>20766</v>
      </c>
      <c r="BR145" s="404">
        <v>0</v>
      </c>
      <c r="BS145" s="404">
        <v>0</v>
      </c>
      <c r="BT145" s="404">
        <v>0</v>
      </c>
      <c r="BU145" s="404">
        <v>0</v>
      </c>
      <c r="BV145" s="404">
        <v>0</v>
      </c>
      <c r="BW145" s="404">
        <v>0</v>
      </c>
      <c r="BX145" s="404">
        <v>0</v>
      </c>
      <c r="BY145" s="404">
        <v>128482</v>
      </c>
      <c r="BZ145" s="404">
        <v>0</v>
      </c>
      <c r="CA145" s="404">
        <v>0</v>
      </c>
      <c r="CB145" s="404">
        <v>0</v>
      </c>
      <c r="CC145" s="404">
        <v>0</v>
      </c>
      <c r="CD145" s="404">
        <v>3753280</v>
      </c>
      <c r="CE145" s="404">
        <v>0</v>
      </c>
      <c r="CF145" s="404">
        <v>1048000</v>
      </c>
      <c r="CG145" s="404">
        <v>0</v>
      </c>
      <c r="CH145" s="404">
        <v>6764</v>
      </c>
      <c r="CI145" s="404">
        <v>17170818</v>
      </c>
      <c r="CJ145" s="404">
        <v>506456</v>
      </c>
      <c r="CK145" s="404">
        <v>0</v>
      </c>
      <c r="CL145" s="404">
        <v>0</v>
      </c>
      <c r="CM145" s="404">
        <v>0</v>
      </c>
      <c r="CN145" s="404">
        <v>3763574</v>
      </c>
      <c r="CO145" s="404">
        <v>0</v>
      </c>
      <c r="CP145" s="404">
        <v>34901</v>
      </c>
      <c r="CQ145" s="404">
        <v>0</v>
      </c>
      <c r="CR145" s="404">
        <v>0</v>
      </c>
    </row>
    <row r="146" spans="1:96" s="404" customFormat="1" x14ac:dyDescent="0.3">
      <c r="A146" s="404">
        <v>387</v>
      </c>
      <c r="B146" s="405">
        <v>387</v>
      </c>
      <c r="C146" s="404">
        <v>387</v>
      </c>
      <c r="D146" s="404" t="s">
        <v>195</v>
      </c>
      <c r="E146" s="404" t="s">
        <v>462</v>
      </c>
      <c r="F146" s="404">
        <v>0</v>
      </c>
      <c r="G146" s="404">
        <v>0</v>
      </c>
      <c r="H146" s="404">
        <v>0</v>
      </c>
      <c r="I146" s="404">
        <v>0</v>
      </c>
      <c r="J146" s="404">
        <v>0</v>
      </c>
      <c r="K146" s="404">
        <v>0</v>
      </c>
      <c r="L146" s="404">
        <v>1277293</v>
      </c>
      <c r="M146" s="404">
        <v>0</v>
      </c>
      <c r="N146" s="404">
        <v>0</v>
      </c>
      <c r="O146" s="404">
        <v>0</v>
      </c>
      <c r="P146" s="404">
        <v>0</v>
      </c>
      <c r="Q146" s="404">
        <v>0</v>
      </c>
      <c r="R146" s="404">
        <v>10007</v>
      </c>
      <c r="S146" s="404">
        <v>0</v>
      </c>
      <c r="T146" s="404">
        <v>0</v>
      </c>
      <c r="U146" s="404">
        <v>0</v>
      </c>
      <c r="V146" s="404">
        <v>0</v>
      </c>
      <c r="W146" s="404">
        <v>163802</v>
      </c>
      <c r="X146" s="404">
        <v>125000</v>
      </c>
      <c r="Y146" s="404">
        <v>0</v>
      </c>
      <c r="Z146" s="404">
        <v>0</v>
      </c>
      <c r="AA146" s="404">
        <v>0</v>
      </c>
      <c r="AB146" s="404">
        <v>0</v>
      </c>
      <c r="AC146" s="404">
        <v>0</v>
      </c>
      <c r="AD146" s="404">
        <v>0</v>
      </c>
      <c r="AE146" s="404">
        <v>0</v>
      </c>
      <c r="AF146" s="404">
        <v>328042</v>
      </c>
      <c r="AG146" s="404">
        <v>0</v>
      </c>
      <c r="AH146" s="404">
        <v>0</v>
      </c>
      <c r="AI146" s="404">
        <v>0</v>
      </c>
      <c r="AJ146" s="404">
        <v>0</v>
      </c>
      <c r="AK146" s="404">
        <v>1255355</v>
      </c>
      <c r="AL146" s="404">
        <v>0</v>
      </c>
      <c r="AM146" s="404">
        <v>0</v>
      </c>
      <c r="AN146" s="404">
        <v>10000</v>
      </c>
      <c r="AO146" s="404">
        <v>0</v>
      </c>
      <c r="AP146" s="404">
        <v>0</v>
      </c>
      <c r="AQ146" s="404">
        <v>0</v>
      </c>
      <c r="AR146" s="404">
        <v>0</v>
      </c>
      <c r="AS146" s="404">
        <v>0</v>
      </c>
      <c r="AT146" s="404">
        <v>0</v>
      </c>
      <c r="AU146" s="404">
        <v>0</v>
      </c>
      <c r="AV146" s="404">
        <v>0</v>
      </c>
      <c r="AW146" s="404">
        <v>0</v>
      </c>
      <c r="AX146" s="404">
        <v>117275</v>
      </c>
      <c r="AY146" s="404">
        <v>0</v>
      </c>
      <c r="AZ146" s="404">
        <v>0</v>
      </c>
      <c r="BA146" s="404">
        <v>0</v>
      </c>
      <c r="BB146" s="404">
        <v>0</v>
      </c>
      <c r="BC146" s="404">
        <v>0</v>
      </c>
      <c r="BD146" s="404">
        <v>0</v>
      </c>
      <c r="BE146" s="404">
        <v>0</v>
      </c>
      <c r="BF146" s="404">
        <v>0</v>
      </c>
      <c r="BG146" s="404">
        <v>32000</v>
      </c>
      <c r="BH146" s="404">
        <v>0</v>
      </c>
      <c r="BI146" s="404">
        <v>4451831</v>
      </c>
      <c r="BJ146" s="404">
        <v>0</v>
      </c>
      <c r="BK146" s="404">
        <v>0</v>
      </c>
      <c r="BL146" s="404">
        <v>0</v>
      </c>
      <c r="BM146" s="404">
        <v>0</v>
      </c>
      <c r="BN146" s="404">
        <v>0</v>
      </c>
      <c r="BO146" s="404">
        <v>0</v>
      </c>
      <c r="BP146" s="404">
        <v>0</v>
      </c>
      <c r="BQ146" s="404">
        <v>0</v>
      </c>
      <c r="BR146" s="404">
        <v>0</v>
      </c>
      <c r="BS146" s="404">
        <v>0</v>
      </c>
      <c r="BT146" s="404">
        <v>0</v>
      </c>
      <c r="BU146" s="404">
        <v>0</v>
      </c>
      <c r="BV146" s="404">
        <v>0</v>
      </c>
      <c r="BW146" s="404">
        <v>0</v>
      </c>
      <c r="BX146" s="404">
        <v>0</v>
      </c>
      <c r="BY146" s="404">
        <v>0</v>
      </c>
      <c r="BZ146" s="404">
        <v>0</v>
      </c>
      <c r="CA146" s="404">
        <v>0</v>
      </c>
      <c r="CB146" s="404">
        <v>0</v>
      </c>
      <c r="CC146" s="404">
        <v>347099</v>
      </c>
      <c r="CD146" s="404">
        <v>0</v>
      </c>
      <c r="CE146" s="404">
        <v>0</v>
      </c>
      <c r="CF146" s="404">
        <v>0</v>
      </c>
      <c r="CG146" s="404">
        <v>0</v>
      </c>
      <c r="CH146" s="404">
        <v>0</v>
      </c>
      <c r="CI146" s="404">
        <v>16386124</v>
      </c>
      <c r="CJ146" s="404">
        <v>0</v>
      </c>
      <c r="CK146" s="404">
        <v>0</v>
      </c>
      <c r="CL146" s="404">
        <v>0</v>
      </c>
      <c r="CM146" s="404">
        <v>0</v>
      </c>
      <c r="CN146" s="404">
        <v>3013574</v>
      </c>
      <c r="CO146" s="404">
        <v>0</v>
      </c>
      <c r="CP146" s="404">
        <v>0</v>
      </c>
      <c r="CQ146" s="404">
        <v>0</v>
      </c>
      <c r="CR146" s="404">
        <v>0</v>
      </c>
    </row>
    <row r="147" spans="1:96" s="404" customFormat="1" x14ac:dyDescent="0.3">
      <c r="A147" s="404">
        <v>388</v>
      </c>
      <c r="B147" s="405">
        <v>388</v>
      </c>
      <c r="C147" s="404">
        <v>388</v>
      </c>
      <c r="D147" s="404" t="s">
        <v>189</v>
      </c>
      <c r="E147" s="404" t="s">
        <v>463</v>
      </c>
      <c r="F147" s="404">
        <v>130020</v>
      </c>
      <c r="G147" s="404">
        <v>10599438</v>
      </c>
      <c r="H147" s="404">
        <v>998224</v>
      </c>
      <c r="I147" s="404">
        <v>5909108</v>
      </c>
      <c r="J147" s="404">
        <v>839046</v>
      </c>
      <c r="K147" s="404">
        <v>645625</v>
      </c>
      <c r="L147" s="404">
        <v>30402727</v>
      </c>
      <c r="M147" s="404">
        <v>673763</v>
      </c>
      <c r="N147" s="404">
        <v>500750</v>
      </c>
      <c r="O147" s="404">
        <v>591902</v>
      </c>
      <c r="P147" s="404">
        <v>1363440</v>
      </c>
      <c r="Q147" s="404">
        <v>47627</v>
      </c>
      <c r="R147" s="404">
        <v>258709</v>
      </c>
      <c r="S147" s="404">
        <v>1683079</v>
      </c>
      <c r="T147" s="404">
        <v>1460866</v>
      </c>
      <c r="U147" s="404">
        <v>7449130</v>
      </c>
      <c r="V147" s="404">
        <v>18585211</v>
      </c>
      <c r="W147" s="404">
        <v>3921748</v>
      </c>
      <c r="X147" s="404">
        <v>187229</v>
      </c>
      <c r="Y147" s="404">
        <v>3415224</v>
      </c>
      <c r="Z147" s="404">
        <v>2996717</v>
      </c>
      <c r="AA147" s="404">
        <v>78453</v>
      </c>
      <c r="AB147" s="404">
        <v>12302692</v>
      </c>
      <c r="AC147" s="404">
        <v>2204907</v>
      </c>
      <c r="AD147" s="404">
        <v>824350</v>
      </c>
      <c r="AE147" s="404">
        <v>293894</v>
      </c>
      <c r="AF147" s="404">
        <v>26752174</v>
      </c>
      <c r="AG147" s="404">
        <v>754479</v>
      </c>
      <c r="AH147" s="404">
        <v>20932897</v>
      </c>
      <c r="AI147" s="404">
        <v>1671899</v>
      </c>
      <c r="AJ147" s="404">
        <v>248081</v>
      </c>
      <c r="AK147" s="404">
        <v>1509090</v>
      </c>
      <c r="AL147" s="404">
        <v>3497757</v>
      </c>
      <c r="AM147" s="404">
        <v>3182849</v>
      </c>
      <c r="AN147" s="404">
        <v>2381641</v>
      </c>
      <c r="AO147" s="404">
        <v>239773</v>
      </c>
      <c r="AP147" s="404">
        <v>322975</v>
      </c>
      <c r="AQ147" s="404">
        <v>5112300</v>
      </c>
      <c r="AR147" s="404">
        <v>0</v>
      </c>
      <c r="AS147" s="404">
        <v>148206</v>
      </c>
      <c r="AT147" s="404">
        <v>211122</v>
      </c>
      <c r="AU147" s="404">
        <v>859164</v>
      </c>
      <c r="AV147" s="404">
        <v>107447</v>
      </c>
      <c r="AW147" s="404">
        <v>312083</v>
      </c>
      <c r="AX147" s="404">
        <v>4642929</v>
      </c>
      <c r="AY147" s="404">
        <v>358336</v>
      </c>
      <c r="AZ147" s="404">
        <v>44709532</v>
      </c>
      <c r="BA147" s="404">
        <v>1970411</v>
      </c>
      <c r="BB147" s="404">
        <v>6434526</v>
      </c>
      <c r="BC147" s="404">
        <v>595220</v>
      </c>
      <c r="BD147" s="404">
        <v>873881</v>
      </c>
      <c r="BE147" s="404">
        <v>1344307</v>
      </c>
      <c r="BF147" s="404">
        <v>237281</v>
      </c>
      <c r="BG147" s="404">
        <v>1124894</v>
      </c>
      <c r="BH147" s="404">
        <v>2963147</v>
      </c>
      <c r="BI147" s="404">
        <v>14913346</v>
      </c>
      <c r="BJ147" s="404">
        <v>280760</v>
      </c>
      <c r="BK147" s="404">
        <v>99720</v>
      </c>
      <c r="BL147" s="404">
        <v>14104547</v>
      </c>
      <c r="BM147" s="404">
        <v>13758901</v>
      </c>
      <c r="BN147" s="404">
        <v>7090313</v>
      </c>
      <c r="BO147" s="404">
        <v>107358</v>
      </c>
      <c r="BP147" s="404">
        <v>1973669</v>
      </c>
      <c r="BQ147" s="404">
        <v>1965141</v>
      </c>
      <c r="BR147" s="404">
        <v>7426392</v>
      </c>
      <c r="BS147" s="404">
        <v>521122</v>
      </c>
      <c r="BT147" s="404">
        <v>705662</v>
      </c>
      <c r="BU147" s="404">
        <v>2328831</v>
      </c>
      <c r="BV147" s="404">
        <v>3693157</v>
      </c>
      <c r="BW147" s="404">
        <v>0</v>
      </c>
      <c r="BX147" s="404">
        <v>1930209</v>
      </c>
      <c r="BY147" s="404">
        <v>5986486</v>
      </c>
      <c r="BZ147" s="404">
        <v>151964</v>
      </c>
      <c r="CA147" s="404">
        <v>0</v>
      </c>
      <c r="CB147" s="404">
        <v>6468217</v>
      </c>
      <c r="CC147" s="404">
        <v>133404931</v>
      </c>
      <c r="CD147" s="404">
        <v>56057489</v>
      </c>
      <c r="CE147" s="404">
        <v>1286025</v>
      </c>
      <c r="CF147" s="404">
        <v>4671824</v>
      </c>
      <c r="CG147" s="404">
        <v>654373</v>
      </c>
      <c r="CH147" s="404">
        <v>1481470</v>
      </c>
      <c r="CI147" s="404">
        <v>251108507</v>
      </c>
      <c r="CJ147" s="404">
        <v>10351339</v>
      </c>
      <c r="CK147" s="404">
        <v>343836</v>
      </c>
      <c r="CL147" s="404">
        <v>4393139</v>
      </c>
      <c r="CM147" s="404">
        <v>424340</v>
      </c>
      <c r="CN147" s="404">
        <v>10753973</v>
      </c>
      <c r="CO147" s="404">
        <v>2625678</v>
      </c>
      <c r="CP147" s="404">
        <v>896849</v>
      </c>
      <c r="CQ147" s="404">
        <v>2333992</v>
      </c>
      <c r="CR147" s="404">
        <v>11207842</v>
      </c>
    </row>
    <row r="148" spans="1:96" s="404" customFormat="1" x14ac:dyDescent="0.3">
      <c r="A148" s="404">
        <v>389</v>
      </c>
      <c r="B148" s="405">
        <v>389</v>
      </c>
      <c r="C148" s="404">
        <v>389</v>
      </c>
      <c r="D148" s="404" t="s">
        <v>196</v>
      </c>
      <c r="E148" s="404" t="s">
        <v>464</v>
      </c>
      <c r="F148" s="404">
        <v>0</v>
      </c>
      <c r="G148" s="404">
        <v>0</v>
      </c>
      <c r="H148" s="404">
        <v>0</v>
      </c>
      <c r="I148" s="404">
        <v>0</v>
      </c>
      <c r="J148" s="404">
        <v>0</v>
      </c>
      <c r="K148" s="404">
        <v>0</v>
      </c>
      <c r="L148" s="404">
        <v>0</v>
      </c>
      <c r="M148" s="404">
        <v>0</v>
      </c>
      <c r="N148" s="404">
        <v>0</v>
      </c>
      <c r="O148" s="404">
        <v>0</v>
      </c>
      <c r="P148" s="404">
        <v>0</v>
      </c>
      <c r="Q148" s="404">
        <v>0</v>
      </c>
      <c r="R148" s="404">
        <v>0</v>
      </c>
      <c r="S148" s="404">
        <v>0</v>
      </c>
      <c r="T148" s="404">
        <v>0</v>
      </c>
      <c r="U148" s="404">
        <v>0</v>
      </c>
      <c r="V148" s="404">
        <v>0</v>
      </c>
      <c r="W148" s="404">
        <v>0</v>
      </c>
      <c r="X148" s="404">
        <v>0</v>
      </c>
      <c r="Y148" s="404">
        <v>0</v>
      </c>
      <c r="Z148" s="404">
        <v>0</v>
      </c>
      <c r="AA148" s="404">
        <v>0</v>
      </c>
      <c r="AB148" s="404">
        <v>0</v>
      </c>
      <c r="AC148" s="404">
        <v>0</v>
      </c>
      <c r="AD148" s="404">
        <v>0</v>
      </c>
      <c r="AE148" s="404">
        <v>0</v>
      </c>
      <c r="AF148" s="404">
        <v>0</v>
      </c>
      <c r="AG148" s="404">
        <v>0</v>
      </c>
      <c r="AH148" s="404">
        <v>0</v>
      </c>
      <c r="AI148" s="404">
        <v>0</v>
      </c>
      <c r="AJ148" s="404">
        <v>0</v>
      </c>
      <c r="AK148" s="404">
        <v>0</v>
      </c>
      <c r="AL148" s="404">
        <v>0</v>
      </c>
      <c r="AM148" s="404">
        <v>0</v>
      </c>
      <c r="AN148" s="404">
        <v>0</v>
      </c>
      <c r="AO148" s="404">
        <v>0</v>
      </c>
      <c r="AP148" s="404">
        <v>0</v>
      </c>
      <c r="AQ148" s="404">
        <v>1</v>
      </c>
      <c r="AR148" s="404">
        <v>0</v>
      </c>
      <c r="AS148" s="404">
        <v>0</v>
      </c>
      <c r="AT148" s="404">
        <v>0</v>
      </c>
      <c r="AU148" s="404">
        <v>0</v>
      </c>
      <c r="AV148" s="404">
        <v>0</v>
      </c>
      <c r="AW148" s="404">
        <v>0</v>
      </c>
      <c r="AX148" s="404">
        <v>0</v>
      </c>
      <c r="AY148" s="404">
        <v>0</v>
      </c>
      <c r="AZ148" s="404">
        <v>0</v>
      </c>
      <c r="BA148" s="404">
        <v>0</v>
      </c>
      <c r="BB148" s="404">
        <v>0</v>
      </c>
      <c r="BC148" s="404">
        <v>0</v>
      </c>
      <c r="BD148" s="404">
        <v>0</v>
      </c>
      <c r="BE148" s="404">
        <v>0</v>
      </c>
      <c r="BF148" s="404">
        <v>0</v>
      </c>
      <c r="BG148" s="404">
        <v>0</v>
      </c>
      <c r="BH148" s="404">
        <v>0</v>
      </c>
      <c r="BI148" s="404">
        <v>0</v>
      </c>
      <c r="BJ148" s="404">
        <v>0</v>
      </c>
      <c r="BK148" s="404">
        <v>0</v>
      </c>
      <c r="BL148" s="404">
        <v>0</v>
      </c>
      <c r="BM148" s="404">
        <v>0</v>
      </c>
      <c r="BN148" s="404">
        <v>0</v>
      </c>
      <c r="BO148" s="404">
        <v>0</v>
      </c>
      <c r="BP148" s="404">
        <v>0</v>
      </c>
      <c r="BQ148" s="404">
        <v>0</v>
      </c>
      <c r="BR148" s="404">
        <v>0</v>
      </c>
      <c r="BS148" s="404">
        <v>0</v>
      </c>
      <c r="BT148" s="404">
        <v>0</v>
      </c>
      <c r="BU148" s="404">
        <v>0</v>
      </c>
      <c r="BV148" s="404">
        <v>0</v>
      </c>
      <c r="BW148" s="404">
        <v>0</v>
      </c>
      <c r="BX148" s="404">
        <v>0</v>
      </c>
      <c r="BY148" s="404">
        <v>0</v>
      </c>
      <c r="BZ148" s="404">
        <v>0</v>
      </c>
      <c r="CA148" s="404">
        <v>0</v>
      </c>
      <c r="CB148" s="404">
        <v>0</v>
      </c>
      <c r="CC148" s="404">
        <v>0</v>
      </c>
      <c r="CD148" s="404">
        <v>0</v>
      </c>
      <c r="CE148" s="404">
        <v>0</v>
      </c>
      <c r="CF148" s="404">
        <v>0</v>
      </c>
      <c r="CG148" s="404">
        <v>0</v>
      </c>
      <c r="CH148" s="404">
        <v>0</v>
      </c>
      <c r="CI148" s="404">
        <v>0</v>
      </c>
      <c r="CJ148" s="404">
        <v>0</v>
      </c>
      <c r="CK148" s="404">
        <v>0</v>
      </c>
      <c r="CL148" s="404">
        <v>0</v>
      </c>
      <c r="CM148" s="404">
        <v>0</v>
      </c>
      <c r="CN148" s="404">
        <v>0</v>
      </c>
      <c r="CO148" s="404">
        <v>0</v>
      </c>
      <c r="CP148" s="404">
        <v>0</v>
      </c>
      <c r="CQ148" s="404">
        <v>0</v>
      </c>
      <c r="CR148" s="404">
        <v>0</v>
      </c>
    </row>
    <row r="149" spans="1:96" s="404" customFormat="1" x14ac:dyDescent="0.3">
      <c r="A149" s="404">
        <v>391</v>
      </c>
      <c r="B149" s="405">
        <v>391</v>
      </c>
      <c r="C149" s="404">
        <v>391</v>
      </c>
      <c r="D149" s="404" t="s">
        <v>201</v>
      </c>
      <c r="E149" s="404" t="s">
        <v>465</v>
      </c>
      <c r="F149" s="404">
        <v>32264</v>
      </c>
      <c r="G149" s="404">
        <v>401137</v>
      </c>
      <c r="H149" s="404">
        <v>122500</v>
      </c>
      <c r="I149" s="404">
        <v>362999</v>
      </c>
      <c r="J149" s="404">
        <v>51782</v>
      </c>
      <c r="K149" s="404">
        <v>197774</v>
      </c>
      <c r="L149" s="404">
        <v>5521039</v>
      </c>
      <c r="M149" s="404">
        <v>60039</v>
      </c>
      <c r="N149" s="404">
        <v>37292</v>
      </c>
      <c r="O149" s="404">
        <v>101329</v>
      </c>
      <c r="P149" s="404">
        <v>102024</v>
      </c>
      <c r="Q149" s="404">
        <v>0</v>
      </c>
      <c r="R149" s="404">
        <v>54179</v>
      </c>
      <c r="S149" s="404">
        <v>119615</v>
      </c>
      <c r="T149" s="404">
        <v>172471</v>
      </c>
      <c r="U149" s="404">
        <v>659532</v>
      </c>
      <c r="V149" s="404">
        <v>1028422</v>
      </c>
      <c r="W149" s="404">
        <v>333636</v>
      </c>
      <c r="X149" s="404">
        <v>93300</v>
      </c>
      <c r="Y149" s="404">
        <v>532379</v>
      </c>
      <c r="Z149" s="404">
        <v>1126746</v>
      </c>
      <c r="AA149" s="404">
        <v>3257</v>
      </c>
      <c r="AB149" s="404">
        <v>1596859</v>
      </c>
      <c r="AC149" s="404">
        <v>319032</v>
      </c>
      <c r="AD149" s="404">
        <v>490965</v>
      </c>
      <c r="AE149" s="404">
        <v>53727</v>
      </c>
      <c r="AF149" s="404">
        <v>4330545</v>
      </c>
      <c r="AG149" s="404">
        <v>30423</v>
      </c>
      <c r="AH149" s="404">
        <v>277519</v>
      </c>
      <c r="AI149" s="404">
        <v>187804</v>
      </c>
      <c r="AJ149" s="404">
        <v>33439</v>
      </c>
      <c r="AK149" s="404">
        <v>1908361</v>
      </c>
      <c r="AL149" s="404">
        <v>269759</v>
      </c>
      <c r="AM149" s="404">
        <v>495128</v>
      </c>
      <c r="AN149" s="404">
        <v>423083</v>
      </c>
      <c r="AO149" s="404">
        <v>23378</v>
      </c>
      <c r="AP149" s="404">
        <v>57129</v>
      </c>
      <c r="AQ149" s="404">
        <v>708589</v>
      </c>
      <c r="AR149" s="404">
        <v>0</v>
      </c>
      <c r="AS149" s="404">
        <v>5582</v>
      </c>
      <c r="AT149" s="404">
        <v>39860</v>
      </c>
      <c r="AU149" s="404">
        <v>139430</v>
      </c>
      <c r="AV149" s="404">
        <v>5326</v>
      </c>
      <c r="AW149" s="404">
        <v>28747</v>
      </c>
      <c r="AX149" s="404">
        <v>570695</v>
      </c>
      <c r="AY149" s="404">
        <v>41369</v>
      </c>
      <c r="AZ149" s="404">
        <v>3568985</v>
      </c>
      <c r="BA149" s="404">
        <v>132079</v>
      </c>
      <c r="BB149" s="404">
        <v>809711</v>
      </c>
      <c r="BC149" s="404">
        <v>152792</v>
      </c>
      <c r="BD149" s="404">
        <v>110971</v>
      </c>
      <c r="BE149" s="404">
        <v>104799</v>
      </c>
      <c r="BF149" s="404">
        <v>0</v>
      </c>
      <c r="BG149" s="404">
        <v>225198</v>
      </c>
      <c r="BH149" s="404">
        <v>292221</v>
      </c>
      <c r="BI149" s="404">
        <v>3856584</v>
      </c>
      <c r="BJ149" s="404">
        <v>1741</v>
      </c>
      <c r="BK149" s="404">
        <v>16893</v>
      </c>
      <c r="BL149" s="404">
        <v>1161574</v>
      </c>
      <c r="BM149" s="404">
        <v>1782023</v>
      </c>
      <c r="BN149" s="404">
        <v>775239</v>
      </c>
      <c r="BO149" s="404">
        <v>13429</v>
      </c>
      <c r="BP149" s="404">
        <v>186011</v>
      </c>
      <c r="BQ149" s="404">
        <v>99117</v>
      </c>
      <c r="BR149" s="404">
        <v>370720</v>
      </c>
      <c r="BS149" s="404">
        <v>141150</v>
      </c>
      <c r="BT149" s="404">
        <v>90911</v>
      </c>
      <c r="BU149" s="404">
        <v>294862</v>
      </c>
      <c r="BV149" s="404">
        <v>269434</v>
      </c>
      <c r="BW149" s="404">
        <v>0</v>
      </c>
      <c r="BX149" s="404">
        <v>154822</v>
      </c>
      <c r="BY149" s="404">
        <v>800659</v>
      </c>
      <c r="BZ149" s="404">
        <v>15904</v>
      </c>
      <c r="CA149" s="404">
        <v>0</v>
      </c>
      <c r="CB149" s="404">
        <v>448460</v>
      </c>
      <c r="CC149" s="404">
        <v>19926185</v>
      </c>
      <c r="CD149" s="404">
        <v>4014735</v>
      </c>
      <c r="CE149" s="404">
        <v>61546</v>
      </c>
      <c r="CF149" s="404">
        <v>1925739</v>
      </c>
      <c r="CG149" s="404">
        <v>51906</v>
      </c>
      <c r="CH149" s="404">
        <v>136161</v>
      </c>
      <c r="CI149" s="404">
        <v>21613488</v>
      </c>
      <c r="CJ149" s="404">
        <v>1106195</v>
      </c>
      <c r="CK149" s="404">
        <v>184185</v>
      </c>
      <c r="CL149" s="404">
        <v>289212</v>
      </c>
      <c r="CM149" s="404">
        <v>45229</v>
      </c>
      <c r="CN149" s="404">
        <v>790024</v>
      </c>
      <c r="CO149" s="404">
        <v>363110</v>
      </c>
      <c r="CP149" s="404">
        <v>98198</v>
      </c>
      <c r="CQ149" s="404">
        <v>281011</v>
      </c>
      <c r="CR149" s="404">
        <v>740086</v>
      </c>
    </row>
    <row r="150" spans="1:96" s="404" customFormat="1" x14ac:dyDescent="0.3">
      <c r="A150" s="404">
        <v>500</v>
      </c>
      <c r="B150" s="405">
        <v>500</v>
      </c>
      <c r="C150" s="404">
        <v>500</v>
      </c>
      <c r="D150" s="404" t="s">
        <v>183</v>
      </c>
      <c r="E150" s="404" t="s">
        <v>466</v>
      </c>
      <c r="F150" s="404">
        <v>256978</v>
      </c>
      <c r="G150" s="404">
        <v>352760</v>
      </c>
      <c r="H150" s="404">
        <v>3911</v>
      </c>
      <c r="I150" s="404">
        <v>400514</v>
      </c>
      <c r="J150" s="404">
        <v>169860</v>
      </c>
      <c r="K150" s="404">
        <v>102246</v>
      </c>
      <c r="L150" s="404">
        <v>155635</v>
      </c>
      <c r="M150" s="404">
        <v>25458</v>
      </c>
      <c r="N150" s="404">
        <v>49750</v>
      </c>
      <c r="O150" s="404">
        <v>24374</v>
      </c>
      <c r="P150" s="404">
        <v>280844</v>
      </c>
      <c r="Q150" s="404">
        <v>76455</v>
      </c>
      <c r="R150" s="404">
        <v>50433</v>
      </c>
      <c r="S150" s="404">
        <v>0</v>
      </c>
      <c r="T150" s="404">
        <v>2388</v>
      </c>
      <c r="U150" s="404">
        <v>135515</v>
      </c>
      <c r="V150" s="404">
        <v>3160593</v>
      </c>
      <c r="W150" s="404">
        <v>39384</v>
      </c>
      <c r="X150" s="404">
        <v>0</v>
      </c>
      <c r="Y150" s="404">
        <v>732181</v>
      </c>
      <c r="Z150" s="404">
        <v>467165</v>
      </c>
      <c r="AA150" s="404">
        <v>10107</v>
      </c>
      <c r="AB150" s="404">
        <v>1266138</v>
      </c>
      <c r="AC150" s="404">
        <v>87060</v>
      </c>
      <c r="AD150" s="404">
        <v>189320</v>
      </c>
      <c r="AE150" s="404">
        <v>71686</v>
      </c>
      <c r="AF150" s="404">
        <v>1448327</v>
      </c>
      <c r="AG150" s="404">
        <v>746117</v>
      </c>
      <c r="AH150" s="404">
        <v>54861</v>
      </c>
      <c r="AI150" s="404">
        <v>360186</v>
      </c>
      <c r="AJ150" s="404">
        <v>11893</v>
      </c>
      <c r="AK150" s="404">
        <v>548273</v>
      </c>
      <c r="AL150" s="404">
        <v>85164</v>
      </c>
      <c r="AM150" s="404">
        <v>808959</v>
      </c>
      <c r="AN150" s="404">
        <v>426220</v>
      </c>
      <c r="AO150" s="404">
        <v>8763</v>
      </c>
      <c r="AP150" s="404">
        <v>0</v>
      </c>
      <c r="AQ150" s="404">
        <v>130454</v>
      </c>
      <c r="AR150" s="404">
        <v>0</v>
      </c>
      <c r="AS150" s="404">
        <v>82701</v>
      </c>
      <c r="AT150" s="404">
        <v>0</v>
      </c>
      <c r="AU150" s="404">
        <v>123160</v>
      </c>
      <c r="AV150" s="404">
        <v>136010</v>
      </c>
      <c r="AW150" s="404">
        <v>157905</v>
      </c>
      <c r="AX150" s="404">
        <v>190446</v>
      </c>
      <c r="AY150" s="404">
        <v>103600</v>
      </c>
      <c r="AZ150" s="404">
        <v>1658169</v>
      </c>
      <c r="BA150" s="404">
        <v>774072</v>
      </c>
      <c r="BB150" s="404">
        <v>167018</v>
      </c>
      <c r="BC150" s="404">
        <v>0</v>
      </c>
      <c r="BD150" s="404">
        <v>82085</v>
      </c>
      <c r="BE150" s="404">
        <v>59005</v>
      </c>
      <c r="BF150" s="404">
        <v>29977</v>
      </c>
      <c r="BG150" s="404">
        <v>36968</v>
      </c>
      <c r="BH150" s="404">
        <v>98258</v>
      </c>
      <c r="BI150" s="404">
        <v>6053</v>
      </c>
      <c r="BJ150" s="404">
        <v>71294</v>
      </c>
      <c r="BK150" s="404">
        <v>18608</v>
      </c>
      <c r="BL150" s="404">
        <v>7200450</v>
      </c>
      <c r="BM150" s="404">
        <v>242171</v>
      </c>
      <c r="BN150" s="404">
        <v>307306</v>
      </c>
      <c r="BO150" s="404">
        <v>0</v>
      </c>
      <c r="BP150" s="404">
        <v>75002</v>
      </c>
      <c r="BQ150" s="404">
        <v>164422</v>
      </c>
      <c r="BR150" s="404">
        <v>2263928</v>
      </c>
      <c r="BS150" s="404">
        <v>0</v>
      </c>
      <c r="BT150" s="404">
        <v>130364</v>
      </c>
      <c r="BU150" s="404">
        <v>574989</v>
      </c>
      <c r="BV150" s="404">
        <v>1215145</v>
      </c>
      <c r="BW150" s="404">
        <v>0</v>
      </c>
      <c r="BX150" s="404">
        <v>117674</v>
      </c>
      <c r="BY150" s="404">
        <v>1045823</v>
      </c>
      <c r="BZ150" s="404">
        <v>0</v>
      </c>
      <c r="CA150" s="404">
        <v>0</v>
      </c>
      <c r="CB150" s="404">
        <v>4311475</v>
      </c>
      <c r="CC150" s="404">
        <v>37055237</v>
      </c>
      <c r="CD150" s="404">
        <v>786299</v>
      </c>
      <c r="CE150" s="404">
        <v>174422</v>
      </c>
      <c r="CF150" s="404">
        <v>0</v>
      </c>
      <c r="CG150" s="404">
        <v>29763</v>
      </c>
      <c r="CH150" s="404">
        <v>206059</v>
      </c>
      <c r="CI150" s="404">
        <v>0</v>
      </c>
      <c r="CJ150" s="404">
        <v>579742</v>
      </c>
      <c r="CK150" s="404">
        <v>97423</v>
      </c>
      <c r="CL150" s="404">
        <v>188223</v>
      </c>
      <c r="CM150" s="404">
        <v>181894</v>
      </c>
      <c r="CN150" s="404">
        <v>111380</v>
      </c>
      <c r="CO150" s="404">
        <v>117516</v>
      </c>
      <c r="CP150" s="404">
        <v>311246</v>
      </c>
      <c r="CQ150" s="404">
        <v>54317</v>
      </c>
      <c r="CR150" s="404">
        <v>1255186</v>
      </c>
    </row>
    <row r="151" spans="1:96" s="404" customFormat="1" x14ac:dyDescent="0.3">
      <c r="A151" s="404">
        <v>501</v>
      </c>
      <c r="B151" s="405"/>
      <c r="C151" s="404">
        <v>501</v>
      </c>
      <c r="D151" s="404" t="s">
        <v>185</v>
      </c>
      <c r="E151" s="404" t="s">
        <v>467</v>
      </c>
      <c r="F151" s="404">
        <v>0</v>
      </c>
      <c r="G151" s="404">
        <v>0</v>
      </c>
      <c r="H151" s="404">
        <v>0</v>
      </c>
      <c r="I151" s="404">
        <v>0</v>
      </c>
      <c r="J151" s="404">
        <v>0</v>
      </c>
      <c r="K151" s="404">
        <v>0</v>
      </c>
      <c r="L151" s="404">
        <v>0</v>
      </c>
      <c r="M151" s="404">
        <v>0</v>
      </c>
      <c r="N151" s="404">
        <v>0</v>
      </c>
      <c r="O151" s="404">
        <v>0</v>
      </c>
      <c r="P151" s="404">
        <v>0</v>
      </c>
      <c r="Q151" s="404">
        <v>0</v>
      </c>
      <c r="R151" s="404">
        <v>0</v>
      </c>
      <c r="S151" s="404">
        <v>0</v>
      </c>
      <c r="T151" s="404">
        <v>0</v>
      </c>
      <c r="U151" s="404">
        <v>0</v>
      </c>
      <c r="V151" s="404">
        <v>0</v>
      </c>
      <c r="W151" s="404">
        <v>0</v>
      </c>
      <c r="X151" s="404">
        <v>0</v>
      </c>
      <c r="Y151" s="404">
        <v>0</v>
      </c>
      <c r="Z151" s="404">
        <v>0</v>
      </c>
      <c r="AA151" s="404">
        <v>0</v>
      </c>
      <c r="AB151" s="404">
        <v>0</v>
      </c>
      <c r="AC151" s="404">
        <v>0</v>
      </c>
      <c r="AD151" s="404">
        <v>0</v>
      </c>
      <c r="AE151" s="404">
        <v>0</v>
      </c>
      <c r="AF151" s="404">
        <v>0</v>
      </c>
      <c r="AG151" s="404">
        <v>0</v>
      </c>
      <c r="AH151" s="404">
        <v>0</v>
      </c>
      <c r="AI151" s="404">
        <v>0</v>
      </c>
      <c r="AJ151" s="404">
        <v>0</v>
      </c>
      <c r="AK151" s="404">
        <v>0</v>
      </c>
      <c r="AL151" s="404">
        <v>0</v>
      </c>
      <c r="AM151" s="404">
        <v>0</v>
      </c>
      <c r="AN151" s="404">
        <v>0</v>
      </c>
      <c r="AO151" s="404">
        <v>0</v>
      </c>
      <c r="AP151" s="404">
        <v>0</v>
      </c>
      <c r="AQ151" s="404">
        <v>0</v>
      </c>
      <c r="AR151" s="404">
        <v>0</v>
      </c>
      <c r="AS151" s="404">
        <v>0</v>
      </c>
      <c r="AT151" s="404">
        <v>0</v>
      </c>
      <c r="AU151" s="404">
        <v>0</v>
      </c>
      <c r="AV151" s="404">
        <v>0</v>
      </c>
      <c r="AW151" s="404">
        <v>0</v>
      </c>
      <c r="AX151" s="404">
        <v>0</v>
      </c>
      <c r="AY151" s="404">
        <v>0</v>
      </c>
      <c r="AZ151" s="404">
        <v>0</v>
      </c>
      <c r="BA151" s="404">
        <v>0</v>
      </c>
      <c r="BB151" s="404">
        <v>0</v>
      </c>
      <c r="BC151" s="404">
        <v>0</v>
      </c>
      <c r="BD151" s="404">
        <v>0</v>
      </c>
      <c r="BE151" s="404">
        <v>0</v>
      </c>
      <c r="BF151" s="404">
        <v>0</v>
      </c>
      <c r="BG151" s="404">
        <v>0</v>
      </c>
      <c r="BH151" s="404">
        <v>0</v>
      </c>
      <c r="BI151" s="404">
        <v>0</v>
      </c>
      <c r="BJ151" s="404">
        <v>0</v>
      </c>
      <c r="BK151" s="404">
        <v>0</v>
      </c>
      <c r="BL151" s="404">
        <v>0</v>
      </c>
      <c r="BM151" s="404">
        <v>0</v>
      </c>
      <c r="BN151" s="404">
        <v>0</v>
      </c>
      <c r="BO151" s="404">
        <v>0</v>
      </c>
      <c r="BP151" s="404">
        <v>0</v>
      </c>
      <c r="BQ151" s="404">
        <v>0</v>
      </c>
      <c r="BR151" s="404">
        <v>0</v>
      </c>
      <c r="BS151" s="404">
        <v>0</v>
      </c>
      <c r="BT151" s="404">
        <v>0</v>
      </c>
      <c r="BU151" s="404">
        <v>0</v>
      </c>
      <c r="BV151" s="404">
        <v>0</v>
      </c>
      <c r="BW151" s="404">
        <v>0</v>
      </c>
      <c r="BX151" s="404">
        <v>0</v>
      </c>
      <c r="BY151" s="404">
        <v>0</v>
      </c>
      <c r="BZ151" s="404">
        <v>0</v>
      </c>
      <c r="CA151" s="404">
        <v>0</v>
      </c>
      <c r="CB151" s="404">
        <v>0</v>
      </c>
      <c r="CC151" s="404">
        <v>0</v>
      </c>
      <c r="CD151" s="404">
        <v>0</v>
      </c>
      <c r="CE151" s="404">
        <v>0</v>
      </c>
      <c r="CF151" s="404">
        <v>0</v>
      </c>
      <c r="CG151" s="404">
        <v>0</v>
      </c>
      <c r="CH151" s="404">
        <v>0</v>
      </c>
      <c r="CI151" s="404">
        <v>0</v>
      </c>
      <c r="CJ151" s="404">
        <v>0</v>
      </c>
      <c r="CK151" s="404">
        <v>0</v>
      </c>
      <c r="CL151" s="404">
        <v>0</v>
      </c>
      <c r="CM151" s="404">
        <v>0</v>
      </c>
      <c r="CN151" s="404">
        <v>0</v>
      </c>
      <c r="CO151" s="404">
        <v>0</v>
      </c>
      <c r="CP151" s="404">
        <v>0</v>
      </c>
      <c r="CQ151" s="404">
        <v>0</v>
      </c>
      <c r="CR151" s="404">
        <v>0</v>
      </c>
    </row>
    <row r="152" spans="1:96" s="404" customFormat="1" x14ac:dyDescent="0.3">
      <c r="A152" s="404">
        <v>502</v>
      </c>
      <c r="B152" s="405">
        <v>502</v>
      </c>
      <c r="C152" s="404">
        <v>502</v>
      </c>
      <c r="D152" s="404" t="s">
        <v>186</v>
      </c>
      <c r="E152" s="404" t="s">
        <v>468</v>
      </c>
      <c r="F152" s="404">
        <v>0</v>
      </c>
      <c r="G152" s="404">
        <v>1109082</v>
      </c>
      <c r="H152" s="404">
        <v>643660</v>
      </c>
      <c r="I152" s="404">
        <v>940842</v>
      </c>
      <c r="J152" s="404">
        <v>5628269</v>
      </c>
      <c r="K152" s="404">
        <v>44949</v>
      </c>
      <c r="L152" s="404">
        <v>53197551</v>
      </c>
      <c r="M152" s="404">
        <v>657131</v>
      </c>
      <c r="N152" s="404">
        <v>0</v>
      </c>
      <c r="O152" s="404">
        <v>1500966</v>
      </c>
      <c r="P152" s="404">
        <v>94669</v>
      </c>
      <c r="Q152" s="404">
        <v>0</v>
      </c>
      <c r="R152" s="404">
        <v>63504</v>
      </c>
      <c r="S152" s="404">
        <v>22940</v>
      </c>
      <c r="T152" s="404">
        <v>0</v>
      </c>
      <c r="U152" s="404">
        <v>0</v>
      </c>
      <c r="V152" s="404">
        <v>5144412</v>
      </c>
      <c r="W152" s="404">
        <v>79491</v>
      </c>
      <c r="X152" s="404">
        <v>2510979</v>
      </c>
      <c r="Y152" s="404">
        <v>0</v>
      </c>
      <c r="Z152" s="404">
        <v>2836989</v>
      </c>
      <c r="AA152" s="404">
        <v>0</v>
      </c>
      <c r="AB152" s="404">
        <v>14670320</v>
      </c>
      <c r="AC152" s="404">
        <v>2251185</v>
      </c>
      <c r="AD152" s="404">
        <v>168759</v>
      </c>
      <c r="AE152" s="404">
        <v>228885</v>
      </c>
      <c r="AF152" s="404">
        <v>10292036</v>
      </c>
      <c r="AG152" s="404">
        <v>0</v>
      </c>
      <c r="AH152" s="404">
        <v>1894828</v>
      </c>
      <c r="AI152" s="404">
        <v>0</v>
      </c>
      <c r="AJ152" s="404">
        <v>467929</v>
      </c>
      <c r="AK152" s="404">
        <v>1370331</v>
      </c>
      <c r="AL152" s="404">
        <v>1148710</v>
      </c>
      <c r="AM152" s="404">
        <v>428110</v>
      </c>
      <c r="AN152" s="404">
        <v>264134</v>
      </c>
      <c r="AO152" s="404">
        <v>58018</v>
      </c>
      <c r="AP152" s="404">
        <v>0</v>
      </c>
      <c r="AQ152" s="404">
        <v>0</v>
      </c>
      <c r="AR152" s="404">
        <v>0</v>
      </c>
      <c r="AS152" s="404">
        <v>0</v>
      </c>
      <c r="AT152" s="404">
        <v>0</v>
      </c>
      <c r="AU152" s="404">
        <v>0</v>
      </c>
      <c r="AV152" s="404">
        <v>0</v>
      </c>
      <c r="AW152" s="404">
        <v>185303</v>
      </c>
      <c r="AX152" s="404">
        <v>2431482</v>
      </c>
      <c r="AY152" s="404">
        <v>416676</v>
      </c>
      <c r="AZ152" s="404">
        <v>884604</v>
      </c>
      <c r="BA152" s="404">
        <v>0</v>
      </c>
      <c r="BB152" s="404">
        <v>2154989</v>
      </c>
      <c r="BC152" s="404">
        <v>0</v>
      </c>
      <c r="BD152" s="404">
        <v>1516785</v>
      </c>
      <c r="BE152" s="404">
        <v>1062148</v>
      </c>
      <c r="BF152" s="404">
        <v>438474</v>
      </c>
      <c r="BG152" s="404">
        <v>391219</v>
      </c>
      <c r="BH152" s="404">
        <v>2259651</v>
      </c>
      <c r="BI152" s="404">
        <v>22978317</v>
      </c>
      <c r="BJ152" s="404">
        <v>0</v>
      </c>
      <c r="BK152" s="404">
        <v>0</v>
      </c>
      <c r="BL152" s="404">
        <v>0</v>
      </c>
      <c r="BM152" s="404">
        <v>6404903</v>
      </c>
      <c r="BN152" s="404">
        <v>3470012</v>
      </c>
      <c r="BO152" s="404">
        <v>0</v>
      </c>
      <c r="BP152" s="404">
        <v>0</v>
      </c>
      <c r="BQ152" s="404">
        <v>2238387</v>
      </c>
      <c r="BR152" s="404">
        <v>0</v>
      </c>
      <c r="BS152" s="404">
        <v>0</v>
      </c>
      <c r="BT152" s="404">
        <v>0</v>
      </c>
      <c r="BU152" s="404">
        <v>959941</v>
      </c>
      <c r="BV152" s="404">
        <v>0</v>
      </c>
      <c r="BW152" s="404">
        <v>0</v>
      </c>
      <c r="BX152" s="404">
        <v>2067477</v>
      </c>
      <c r="BY152" s="404">
        <v>2721139</v>
      </c>
      <c r="BZ152" s="404">
        <v>79578</v>
      </c>
      <c r="CA152" s="404">
        <v>0</v>
      </c>
      <c r="CB152" s="404">
        <v>7564970</v>
      </c>
      <c r="CC152" s="404">
        <v>43428168</v>
      </c>
      <c r="CD152" s="404">
        <v>70086384</v>
      </c>
      <c r="CE152" s="404">
        <v>38385</v>
      </c>
      <c r="CF152" s="404">
        <v>4422094</v>
      </c>
      <c r="CG152" s="404">
        <v>24511</v>
      </c>
      <c r="CH152" s="404">
        <v>993099</v>
      </c>
      <c r="CI152" s="404">
        <v>172259937</v>
      </c>
      <c r="CJ152" s="404">
        <v>6109383</v>
      </c>
      <c r="CK152" s="404">
        <v>1058235</v>
      </c>
      <c r="CL152" s="404">
        <v>0</v>
      </c>
      <c r="CM152" s="404">
        <v>327495</v>
      </c>
      <c r="CN152" s="404">
        <v>7690991</v>
      </c>
      <c r="CO152" s="404">
        <v>3297112</v>
      </c>
      <c r="CP152" s="404">
        <v>1793266</v>
      </c>
      <c r="CQ152" s="404">
        <v>0</v>
      </c>
      <c r="CR152" s="404">
        <v>0</v>
      </c>
    </row>
    <row r="153" spans="1:96" s="404" customFormat="1" x14ac:dyDescent="0.3">
      <c r="A153" s="404">
        <v>503</v>
      </c>
      <c r="B153" s="405">
        <v>503</v>
      </c>
      <c r="C153" s="404">
        <v>503</v>
      </c>
      <c r="D153" s="404" t="s">
        <v>187</v>
      </c>
      <c r="E153" s="404" t="s">
        <v>469</v>
      </c>
      <c r="F153" s="404">
        <v>0</v>
      </c>
      <c r="G153" s="404">
        <v>0</v>
      </c>
      <c r="H153" s="404">
        <v>0</v>
      </c>
      <c r="I153" s="404">
        <v>235950</v>
      </c>
      <c r="J153" s="404">
        <v>194466</v>
      </c>
      <c r="K153" s="404">
        <v>1950</v>
      </c>
      <c r="L153" s="404">
        <v>1201856</v>
      </c>
      <c r="M153" s="404">
        <v>19819</v>
      </c>
      <c r="N153" s="404">
        <v>0</v>
      </c>
      <c r="O153" s="404">
        <v>29775</v>
      </c>
      <c r="P153" s="404">
        <v>7395</v>
      </c>
      <c r="Q153" s="404">
        <v>0</v>
      </c>
      <c r="R153" s="404">
        <v>262372</v>
      </c>
      <c r="S153" s="404">
        <v>0</v>
      </c>
      <c r="T153" s="404">
        <v>0</v>
      </c>
      <c r="U153" s="404">
        <v>0</v>
      </c>
      <c r="V153" s="404">
        <v>440420</v>
      </c>
      <c r="W153" s="404">
        <v>0</v>
      </c>
      <c r="X153" s="404">
        <v>26100</v>
      </c>
      <c r="Y153" s="404">
        <v>0</v>
      </c>
      <c r="Z153" s="404">
        <v>721347</v>
      </c>
      <c r="AA153" s="404">
        <v>0</v>
      </c>
      <c r="AB153" s="404">
        <v>990357</v>
      </c>
      <c r="AC153" s="404">
        <v>4108</v>
      </c>
      <c r="AD153" s="404">
        <v>0</v>
      </c>
      <c r="AE153" s="404">
        <v>0</v>
      </c>
      <c r="AF153" s="404">
        <v>439006</v>
      </c>
      <c r="AG153" s="404">
        <v>0</v>
      </c>
      <c r="AH153" s="404">
        <v>83006</v>
      </c>
      <c r="AI153" s="404">
        <v>0</v>
      </c>
      <c r="AJ153" s="404">
        <v>2736</v>
      </c>
      <c r="AK153" s="404">
        <v>0</v>
      </c>
      <c r="AL153" s="404">
        <v>152580</v>
      </c>
      <c r="AM153" s="404">
        <v>96860</v>
      </c>
      <c r="AN153" s="404">
        <v>130973</v>
      </c>
      <c r="AO153" s="404">
        <v>2905</v>
      </c>
      <c r="AP153" s="404">
        <v>0</v>
      </c>
      <c r="AQ153" s="404">
        <v>0</v>
      </c>
      <c r="AR153" s="404">
        <v>0</v>
      </c>
      <c r="AS153" s="404">
        <v>0</v>
      </c>
      <c r="AT153" s="404">
        <v>0</v>
      </c>
      <c r="AU153" s="404">
        <v>0</v>
      </c>
      <c r="AV153" s="404">
        <v>0</v>
      </c>
      <c r="AW153" s="404">
        <v>17468</v>
      </c>
      <c r="AX153" s="404">
        <v>306795</v>
      </c>
      <c r="AY153" s="404">
        <v>25412</v>
      </c>
      <c r="AZ153" s="404">
        <v>0</v>
      </c>
      <c r="BA153" s="404">
        <v>0</v>
      </c>
      <c r="BB153" s="404">
        <v>0</v>
      </c>
      <c r="BC153" s="404">
        <v>0</v>
      </c>
      <c r="BD153" s="404">
        <v>30852</v>
      </c>
      <c r="BE153" s="404">
        <v>12800</v>
      </c>
      <c r="BF153" s="404">
        <v>18876</v>
      </c>
      <c r="BG153" s="404">
        <v>105014</v>
      </c>
      <c r="BH153" s="404">
        <v>155306</v>
      </c>
      <c r="BI153" s="404">
        <v>632635</v>
      </c>
      <c r="BJ153" s="404">
        <v>0</v>
      </c>
      <c r="BK153" s="404">
        <v>0</v>
      </c>
      <c r="BL153" s="404">
        <v>0</v>
      </c>
      <c r="BM153" s="404">
        <v>244988</v>
      </c>
      <c r="BN153" s="404">
        <v>2306084</v>
      </c>
      <c r="BO153" s="404">
        <v>0</v>
      </c>
      <c r="BP153" s="404">
        <v>0</v>
      </c>
      <c r="BQ153" s="404">
        <v>48782</v>
      </c>
      <c r="BR153" s="404">
        <v>0</v>
      </c>
      <c r="BS153" s="404">
        <v>0</v>
      </c>
      <c r="BT153" s="404">
        <v>0</v>
      </c>
      <c r="BU153" s="404">
        <v>49576</v>
      </c>
      <c r="BV153" s="404">
        <v>0</v>
      </c>
      <c r="BW153" s="404">
        <v>0</v>
      </c>
      <c r="BX153" s="404">
        <v>149690</v>
      </c>
      <c r="BY153" s="404">
        <v>166773</v>
      </c>
      <c r="BZ153" s="404">
        <v>1293</v>
      </c>
      <c r="CA153" s="404">
        <v>0</v>
      </c>
      <c r="CB153" s="404">
        <v>197827</v>
      </c>
      <c r="CC153" s="404">
        <v>5086434</v>
      </c>
      <c r="CD153" s="404">
        <v>2761956</v>
      </c>
      <c r="CE153" s="404">
        <v>0</v>
      </c>
      <c r="CF153" s="404">
        <v>110605</v>
      </c>
      <c r="CG153" s="404">
        <v>42145</v>
      </c>
      <c r="CH153" s="404">
        <v>107019</v>
      </c>
      <c r="CI153" s="404">
        <v>72478073</v>
      </c>
      <c r="CJ153" s="404">
        <v>487080</v>
      </c>
      <c r="CK153" s="404">
        <v>50602</v>
      </c>
      <c r="CL153" s="404">
        <v>0</v>
      </c>
      <c r="CM153" s="404">
        <v>22050</v>
      </c>
      <c r="CN153" s="404">
        <v>0</v>
      </c>
      <c r="CO153" s="404">
        <v>51299</v>
      </c>
      <c r="CP153" s="404">
        <v>1890</v>
      </c>
      <c r="CQ153" s="404">
        <v>0</v>
      </c>
      <c r="CR153" s="404">
        <v>0</v>
      </c>
    </row>
    <row r="154" spans="1:96" s="404" customFormat="1" x14ac:dyDescent="0.3">
      <c r="A154" s="404">
        <v>504</v>
      </c>
      <c r="B154" s="405">
        <v>504</v>
      </c>
      <c r="C154" s="404">
        <v>504</v>
      </c>
      <c r="D154" s="404" t="s">
        <v>191</v>
      </c>
      <c r="E154" s="404" t="s">
        <v>470</v>
      </c>
      <c r="F154" s="404">
        <v>13673</v>
      </c>
      <c r="G154" s="404">
        <v>2099245</v>
      </c>
      <c r="H154" s="404">
        <v>0</v>
      </c>
      <c r="I154" s="404">
        <v>146202</v>
      </c>
      <c r="J154" s="404">
        <v>25890</v>
      </c>
      <c r="K154" s="404">
        <v>66088</v>
      </c>
      <c r="L154" s="404">
        <v>790583</v>
      </c>
      <c r="M154" s="404">
        <v>31328</v>
      </c>
      <c r="N154" s="404">
        <v>35078</v>
      </c>
      <c r="O154" s="404">
        <v>0</v>
      </c>
      <c r="P154" s="404">
        <v>264806</v>
      </c>
      <c r="Q154" s="404">
        <v>7481</v>
      </c>
      <c r="R154" s="404">
        <v>24010</v>
      </c>
      <c r="S154" s="404">
        <v>31179</v>
      </c>
      <c r="T154" s="404">
        <v>0</v>
      </c>
      <c r="U154" s="404">
        <v>162320</v>
      </c>
      <c r="V154" s="404">
        <v>2420424</v>
      </c>
      <c r="W154" s="404">
        <v>417820</v>
      </c>
      <c r="X154" s="404">
        <v>0</v>
      </c>
      <c r="Y154" s="404">
        <v>771866</v>
      </c>
      <c r="Z154" s="404">
        <v>485196</v>
      </c>
      <c r="AA154" s="404">
        <v>6058</v>
      </c>
      <c r="AB154" s="404">
        <v>854161</v>
      </c>
      <c r="AC154" s="404">
        <v>224167</v>
      </c>
      <c r="AD154" s="404">
        <v>23367</v>
      </c>
      <c r="AE154" s="404">
        <v>0</v>
      </c>
      <c r="AF154" s="404">
        <v>1027519</v>
      </c>
      <c r="AG154" s="404">
        <v>52435</v>
      </c>
      <c r="AH154" s="404">
        <v>14492583</v>
      </c>
      <c r="AI154" s="404">
        <v>163908</v>
      </c>
      <c r="AJ154" s="404">
        <v>177767</v>
      </c>
      <c r="AK154" s="404">
        <v>182238</v>
      </c>
      <c r="AL154" s="404">
        <v>98203</v>
      </c>
      <c r="AM154" s="404">
        <v>288716</v>
      </c>
      <c r="AN154" s="404">
        <v>102180</v>
      </c>
      <c r="AO154" s="404">
        <v>64019</v>
      </c>
      <c r="AP154" s="404">
        <v>0</v>
      </c>
      <c r="AQ154" s="404">
        <v>362864</v>
      </c>
      <c r="AR154" s="404">
        <v>0</v>
      </c>
      <c r="AS154" s="404">
        <v>94990</v>
      </c>
      <c r="AT154" s="404">
        <v>8266</v>
      </c>
      <c r="AU154" s="404">
        <v>63689</v>
      </c>
      <c r="AV154" s="404">
        <v>43245</v>
      </c>
      <c r="AW154" s="404">
        <v>16636</v>
      </c>
      <c r="AX154" s="404">
        <v>234699</v>
      </c>
      <c r="AY154" s="404">
        <v>28902</v>
      </c>
      <c r="AZ154" s="404">
        <v>1693156</v>
      </c>
      <c r="BA154" s="404">
        <v>172170</v>
      </c>
      <c r="BB154" s="404">
        <v>1254900</v>
      </c>
      <c r="BC154" s="404">
        <v>0</v>
      </c>
      <c r="BD154" s="404">
        <v>43604</v>
      </c>
      <c r="BE154" s="404">
        <v>34422</v>
      </c>
      <c r="BF154" s="404">
        <v>7489</v>
      </c>
      <c r="BG154" s="404">
        <v>113580</v>
      </c>
      <c r="BH154" s="404">
        <v>144161</v>
      </c>
      <c r="BI154" s="404">
        <v>430813</v>
      </c>
      <c r="BJ154" s="404">
        <v>15907</v>
      </c>
      <c r="BK154" s="404">
        <v>6869</v>
      </c>
      <c r="BL154" s="404">
        <v>1038850</v>
      </c>
      <c r="BM154" s="404">
        <v>765141</v>
      </c>
      <c r="BN154" s="404">
        <v>18699</v>
      </c>
      <c r="BO154" s="404">
        <v>5000</v>
      </c>
      <c r="BP154" s="404">
        <v>0</v>
      </c>
      <c r="BQ154" s="404">
        <v>64694</v>
      </c>
      <c r="BR154" s="404">
        <v>245811</v>
      </c>
      <c r="BS154" s="404">
        <v>0</v>
      </c>
      <c r="BT154" s="404">
        <v>294</v>
      </c>
      <c r="BU154" s="404">
        <v>224943</v>
      </c>
      <c r="BV154" s="404">
        <v>207634</v>
      </c>
      <c r="BW154" s="404">
        <v>0</v>
      </c>
      <c r="BX154" s="404">
        <v>80611</v>
      </c>
      <c r="BY154" s="404">
        <v>1743752</v>
      </c>
      <c r="BZ154" s="404">
        <v>0</v>
      </c>
      <c r="CA154" s="404">
        <v>0</v>
      </c>
      <c r="CB154" s="404">
        <v>698164</v>
      </c>
      <c r="CC154" s="404">
        <v>17634226</v>
      </c>
      <c r="CD154" s="404">
        <v>3606715</v>
      </c>
      <c r="CE154" s="404">
        <v>112265</v>
      </c>
      <c r="CF154" s="404">
        <v>2224464</v>
      </c>
      <c r="CG154" s="404">
        <v>41321</v>
      </c>
      <c r="CH154" s="404">
        <v>107578</v>
      </c>
      <c r="CI154" s="404">
        <v>16740028</v>
      </c>
      <c r="CJ154" s="404">
        <v>1252460</v>
      </c>
      <c r="CK154" s="404">
        <v>23013</v>
      </c>
      <c r="CL154" s="404">
        <v>183877</v>
      </c>
      <c r="CM154" s="404">
        <v>24183</v>
      </c>
      <c r="CN154" s="404">
        <v>625943</v>
      </c>
      <c r="CO154" s="404">
        <v>86740</v>
      </c>
      <c r="CP154" s="404">
        <v>40764</v>
      </c>
      <c r="CQ154" s="404">
        <v>68770</v>
      </c>
      <c r="CR154" s="404">
        <v>867706</v>
      </c>
    </row>
    <row r="155" spans="1:96" s="404" customFormat="1" x14ac:dyDescent="0.3">
      <c r="A155" s="404">
        <v>505</v>
      </c>
      <c r="B155" s="405">
        <v>505</v>
      </c>
      <c r="C155" s="404">
        <v>505</v>
      </c>
      <c r="D155" s="404" t="s">
        <v>192</v>
      </c>
      <c r="E155" s="404" t="s">
        <v>471</v>
      </c>
      <c r="F155" s="404">
        <v>0</v>
      </c>
      <c r="G155" s="404">
        <v>0</v>
      </c>
      <c r="H155" s="404">
        <v>46477</v>
      </c>
      <c r="I155" s="404">
        <v>1423787</v>
      </c>
      <c r="J155" s="404">
        <v>0</v>
      </c>
      <c r="K155" s="404">
        <v>0</v>
      </c>
      <c r="L155" s="404">
        <v>732263</v>
      </c>
      <c r="M155" s="404">
        <v>134054</v>
      </c>
      <c r="N155" s="404">
        <v>0</v>
      </c>
      <c r="O155" s="404">
        <v>5446</v>
      </c>
      <c r="P155" s="404">
        <v>57971</v>
      </c>
      <c r="Q155" s="404">
        <v>0</v>
      </c>
      <c r="R155" s="404">
        <v>10900</v>
      </c>
      <c r="S155" s="404">
        <v>0</v>
      </c>
      <c r="T155" s="404">
        <v>0</v>
      </c>
      <c r="U155" s="404">
        <v>0</v>
      </c>
      <c r="V155" s="404">
        <v>0</v>
      </c>
      <c r="W155" s="404">
        <v>50508</v>
      </c>
      <c r="X155" s="404">
        <v>0</v>
      </c>
      <c r="Y155" s="404">
        <v>1854825</v>
      </c>
      <c r="Z155" s="404">
        <v>0</v>
      </c>
      <c r="AA155" s="404">
        <v>0</v>
      </c>
      <c r="AB155" s="404">
        <v>0</v>
      </c>
      <c r="AC155" s="404">
        <v>0</v>
      </c>
      <c r="AD155" s="404">
        <v>0</v>
      </c>
      <c r="AE155" s="404">
        <v>0</v>
      </c>
      <c r="AF155" s="404">
        <v>125022</v>
      </c>
      <c r="AG155" s="404">
        <v>0</v>
      </c>
      <c r="AH155" s="404">
        <v>0</v>
      </c>
      <c r="AI155" s="404">
        <v>0</v>
      </c>
      <c r="AJ155" s="404">
        <v>110000</v>
      </c>
      <c r="AK155" s="404">
        <v>0</v>
      </c>
      <c r="AL155" s="404">
        <v>0</v>
      </c>
      <c r="AM155" s="404">
        <v>0</v>
      </c>
      <c r="AN155" s="404">
        <v>2100</v>
      </c>
      <c r="AO155" s="404">
        <v>0</v>
      </c>
      <c r="AP155" s="404">
        <v>0</v>
      </c>
      <c r="AQ155" s="404">
        <v>8261</v>
      </c>
      <c r="AR155" s="404">
        <v>0</v>
      </c>
      <c r="AS155" s="404">
        <v>0</v>
      </c>
      <c r="AT155" s="404">
        <v>95620</v>
      </c>
      <c r="AU155" s="404">
        <v>0</v>
      </c>
      <c r="AV155" s="404">
        <v>0</v>
      </c>
      <c r="AW155" s="404">
        <v>66108</v>
      </c>
      <c r="AX155" s="404">
        <v>977318</v>
      </c>
      <c r="AY155" s="404">
        <v>0</v>
      </c>
      <c r="AZ155" s="404">
        <v>8329345</v>
      </c>
      <c r="BA155" s="404">
        <v>0</v>
      </c>
      <c r="BB155" s="404">
        <v>0</v>
      </c>
      <c r="BC155" s="404">
        <v>244902</v>
      </c>
      <c r="BD155" s="404">
        <v>5000</v>
      </c>
      <c r="BE155" s="404">
        <v>280567</v>
      </c>
      <c r="BF155" s="404">
        <v>0</v>
      </c>
      <c r="BG155" s="404">
        <v>41200</v>
      </c>
      <c r="BH155" s="404">
        <v>0</v>
      </c>
      <c r="BI155" s="404">
        <v>477383</v>
      </c>
      <c r="BJ155" s="404">
        <v>0</v>
      </c>
      <c r="BK155" s="404">
        <v>0</v>
      </c>
      <c r="BL155" s="404">
        <v>186623</v>
      </c>
      <c r="BM155" s="404">
        <v>0</v>
      </c>
      <c r="BN155" s="404">
        <v>103879</v>
      </c>
      <c r="BO155" s="404">
        <v>0</v>
      </c>
      <c r="BP155" s="404">
        <v>0</v>
      </c>
      <c r="BQ155" s="404">
        <v>0</v>
      </c>
      <c r="BR155" s="404">
        <v>0</v>
      </c>
      <c r="BS155" s="404">
        <v>0</v>
      </c>
      <c r="BT155" s="404">
        <v>51573</v>
      </c>
      <c r="BU155" s="404">
        <v>24314</v>
      </c>
      <c r="BV155" s="404">
        <v>624</v>
      </c>
      <c r="BW155" s="404">
        <v>0</v>
      </c>
      <c r="BX155" s="404">
        <v>292798</v>
      </c>
      <c r="BY155" s="404">
        <v>0</v>
      </c>
      <c r="BZ155" s="404">
        <v>0</v>
      </c>
      <c r="CA155" s="404">
        <v>0</v>
      </c>
      <c r="CB155" s="404">
        <v>0</v>
      </c>
      <c r="CC155" s="404">
        <v>17674759</v>
      </c>
      <c r="CD155" s="404">
        <v>1324079</v>
      </c>
      <c r="CE155" s="404">
        <v>0</v>
      </c>
      <c r="CF155" s="404">
        <v>17231</v>
      </c>
      <c r="CG155" s="404">
        <v>0</v>
      </c>
      <c r="CH155" s="404">
        <v>393866</v>
      </c>
      <c r="CI155" s="404">
        <v>1398672</v>
      </c>
      <c r="CJ155" s="404">
        <v>1135981</v>
      </c>
      <c r="CK155" s="404">
        <v>0</v>
      </c>
      <c r="CL155" s="404">
        <v>0</v>
      </c>
      <c r="CM155" s="404">
        <v>0</v>
      </c>
      <c r="CN155" s="404">
        <v>431683</v>
      </c>
      <c r="CO155" s="404">
        <v>0</v>
      </c>
      <c r="CP155" s="404">
        <v>342399</v>
      </c>
      <c r="CQ155" s="404">
        <v>115830</v>
      </c>
      <c r="CR155" s="404">
        <v>4016094</v>
      </c>
    </row>
    <row r="156" spans="1:96" s="404" customFormat="1" x14ac:dyDescent="0.3">
      <c r="A156" s="404">
        <v>506</v>
      </c>
      <c r="B156" s="405">
        <v>506</v>
      </c>
      <c r="C156" s="404">
        <v>506</v>
      </c>
      <c r="D156" s="404" t="s">
        <v>198</v>
      </c>
      <c r="E156" s="404" t="s">
        <v>472</v>
      </c>
      <c r="F156" s="404">
        <v>435276</v>
      </c>
      <c r="G156" s="404">
        <v>10476773</v>
      </c>
      <c r="H156" s="404">
        <v>940226</v>
      </c>
      <c r="I156" s="404">
        <v>1266226</v>
      </c>
      <c r="J156" s="404">
        <v>434124</v>
      </c>
      <c r="K156" s="404">
        <v>710206</v>
      </c>
      <c r="L156" s="404">
        <v>22286576</v>
      </c>
      <c r="M156" s="404">
        <v>481740</v>
      </c>
      <c r="N156" s="404">
        <v>259452</v>
      </c>
      <c r="O156" s="404">
        <v>2923908</v>
      </c>
      <c r="P156" s="404">
        <v>611051</v>
      </c>
      <c r="Q156" s="404">
        <v>257672</v>
      </c>
      <c r="R156" s="404">
        <v>284350</v>
      </c>
      <c r="S156" s="404">
        <v>1209060</v>
      </c>
      <c r="T156" s="404">
        <v>7008537</v>
      </c>
      <c r="U156" s="404">
        <v>9057463</v>
      </c>
      <c r="V156" s="404">
        <v>6586598</v>
      </c>
      <c r="W156" s="404">
        <v>3135321</v>
      </c>
      <c r="X156" s="404">
        <v>3799720</v>
      </c>
      <c r="Y156" s="404">
        <v>4972722</v>
      </c>
      <c r="Z156" s="404">
        <v>1946272</v>
      </c>
      <c r="AA156" s="404">
        <v>60495</v>
      </c>
      <c r="AB156" s="404">
        <v>2849741</v>
      </c>
      <c r="AC156" s="404">
        <v>887194</v>
      </c>
      <c r="AD156" s="404">
        <v>532920</v>
      </c>
      <c r="AE156" s="404">
        <v>590093</v>
      </c>
      <c r="AF156" s="404">
        <v>10310740</v>
      </c>
      <c r="AG156" s="404">
        <v>1343945</v>
      </c>
      <c r="AH156" s="404">
        <v>2855928</v>
      </c>
      <c r="AI156" s="404">
        <v>1915319</v>
      </c>
      <c r="AJ156" s="404">
        <v>915955</v>
      </c>
      <c r="AK156" s="404">
        <v>6957520</v>
      </c>
      <c r="AL156" s="404">
        <v>2708985</v>
      </c>
      <c r="AM156" s="404">
        <v>722892</v>
      </c>
      <c r="AN156" s="404">
        <v>1419406</v>
      </c>
      <c r="AO156" s="404">
        <v>96933</v>
      </c>
      <c r="AP156" s="404">
        <v>3139772</v>
      </c>
      <c r="AQ156" s="404">
        <v>3660425</v>
      </c>
      <c r="AR156" s="404">
        <v>0</v>
      </c>
      <c r="AS156" s="404">
        <v>372858</v>
      </c>
      <c r="AT156" s="404">
        <v>1583453</v>
      </c>
      <c r="AU156" s="404">
        <v>426132</v>
      </c>
      <c r="AV156" s="404">
        <v>64557</v>
      </c>
      <c r="AW156" s="404">
        <v>115573</v>
      </c>
      <c r="AX156" s="404">
        <v>2975637</v>
      </c>
      <c r="AY156" s="404">
        <v>932849</v>
      </c>
      <c r="AZ156" s="404">
        <v>14678498</v>
      </c>
      <c r="BA156" s="404">
        <v>4102375</v>
      </c>
      <c r="BB156" s="404">
        <v>2425407</v>
      </c>
      <c r="BC156" s="404">
        <v>2860750</v>
      </c>
      <c r="BD156" s="404">
        <v>1249858</v>
      </c>
      <c r="BE156" s="404">
        <v>1394155</v>
      </c>
      <c r="BF156" s="404">
        <v>234551</v>
      </c>
      <c r="BG156" s="404">
        <v>863489</v>
      </c>
      <c r="BH156" s="404">
        <v>2227224</v>
      </c>
      <c r="BI156" s="404">
        <v>4127556</v>
      </c>
      <c r="BJ156" s="404">
        <v>358426</v>
      </c>
      <c r="BK156" s="404">
        <v>240067</v>
      </c>
      <c r="BL156" s="404">
        <v>7355338</v>
      </c>
      <c r="BM156" s="404">
        <v>9179328</v>
      </c>
      <c r="BN156" s="404">
        <v>6930513</v>
      </c>
      <c r="BO156" s="404">
        <v>128163</v>
      </c>
      <c r="BP156" s="404">
        <v>3443904</v>
      </c>
      <c r="BQ156" s="404">
        <v>1654888</v>
      </c>
      <c r="BR156" s="404">
        <v>8160101</v>
      </c>
      <c r="BS156" s="404">
        <v>1637174</v>
      </c>
      <c r="BT156" s="404">
        <v>1504696</v>
      </c>
      <c r="BU156" s="404">
        <v>1778290</v>
      </c>
      <c r="BV156" s="404">
        <v>1436172</v>
      </c>
      <c r="BW156" s="404">
        <v>0</v>
      </c>
      <c r="BX156" s="404">
        <v>915892</v>
      </c>
      <c r="BY156" s="404">
        <v>2701268</v>
      </c>
      <c r="BZ156" s="404">
        <v>605154</v>
      </c>
      <c r="CA156" s="404">
        <v>0</v>
      </c>
      <c r="CB156" s="404">
        <v>4037827</v>
      </c>
      <c r="CC156" s="404">
        <v>57904941</v>
      </c>
      <c r="CD156" s="404">
        <v>22791442</v>
      </c>
      <c r="CE156" s="404">
        <v>1194259</v>
      </c>
      <c r="CF156" s="404">
        <v>1199203</v>
      </c>
      <c r="CG156" s="404">
        <v>184506</v>
      </c>
      <c r="CH156" s="404">
        <v>1099642</v>
      </c>
      <c r="CI156" s="404">
        <v>35987820</v>
      </c>
      <c r="CJ156" s="404">
        <v>10798865</v>
      </c>
      <c r="CK156" s="404">
        <v>1127164</v>
      </c>
      <c r="CL156" s="404">
        <v>2696271</v>
      </c>
      <c r="CM156" s="404">
        <v>896898</v>
      </c>
      <c r="CN156" s="404">
        <v>13075326</v>
      </c>
      <c r="CO156" s="404">
        <v>2876692</v>
      </c>
      <c r="CP156" s="404">
        <v>1698685</v>
      </c>
      <c r="CQ156" s="404">
        <v>2545894</v>
      </c>
      <c r="CR156" s="404">
        <v>11075671</v>
      </c>
    </row>
    <row r="157" spans="1:96" s="404" customFormat="1" x14ac:dyDescent="0.3">
      <c r="A157" s="404">
        <v>507</v>
      </c>
      <c r="B157" s="405">
        <v>507</v>
      </c>
      <c r="C157" s="404">
        <v>507</v>
      </c>
      <c r="D157" s="404" t="s">
        <v>216</v>
      </c>
      <c r="E157" s="404" t="s">
        <v>473</v>
      </c>
      <c r="F157" s="404">
        <v>0</v>
      </c>
      <c r="G157" s="404">
        <v>0</v>
      </c>
      <c r="H157" s="404">
        <v>0</v>
      </c>
      <c r="I157" s="404">
        <v>0</v>
      </c>
      <c r="J157" s="404">
        <v>0</v>
      </c>
      <c r="K157" s="404">
        <v>0</v>
      </c>
      <c r="L157" s="404">
        <v>0</v>
      </c>
      <c r="M157" s="404">
        <v>24993</v>
      </c>
      <c r="N157" s="404">
        <v>0</v>
      </c>
      <c r="O157" s="404">
        <v>0</v>
      </c>
      <c r="P157" s="404">
        <v>0</v>
      </c>
      <c r="Q157" s="404">
        <v>0</v>
      </c>
      <c r="R157" s="404">
        <v>0</v>
      </c>
      <c r="S157" s="404">
        <v>0</v>
      </c>
      <c r="T157" s="404">
        <v>0</v>
      </c>
      <c r="U157" s="404">
        <v>0</v>
      </c>
      <c r="V157" s="404">
        <v>0</v>
      </c>
      <c r="W157" s="404">
        <v>0</v>
      </c>
      <c r="X157" s="404">
        <v>0</v>
      </c>
      <c r="Y157" s="404">
        <v>0</v>
      </c>
      <c r="Z157" s="404">
        <v>0</v>
      </c>
      <c r="AA157" s="404">
        <v>0</v>
      </c>
      <c r="AB157" s="404">
        <v>0</v>
      </c>
      <c r="AC157" s="404">
        <v>0</v>
      </c>
      <c r="AD157" s="404">
        <v>0</v>
      </c>
      <c r="AE157" s="404">
        <v>0</v>
      </c>
      <c r="AF157" s="404">
        <v>0</v>
      </c>
      <c r="AG157" s="404">
        <v>0</v>
      </c>
      <c r="AH157" s="404">
        <v>0</v>
      </c>
      <c r="AI157" s="404">
        <v>0</v>
      </c>
      <c r="AJ157" s="404">
        <v>0</v>
      </c>
      <c r="AK157" s="404">
        <v>0</v>
      </c>
      <c r="AL157" s="404">
        <v>0</v>
      </c>
      <c r="AM157" s="404">
        <v>0</v>
      </c>
      <c r="AN157" s="404">
        <v>0</v>
      </c>
      <c r="AO157" s="404">
        <v>0</v>
      </c>
      <c r="AP157" s="404">
        <v>0</v>
      </c>
      <c r="AQ157" s="404">
        <v>0</v>
      </c>
      <c r="AR157" s="404">
        <v>0</v>
      </c>
      <c r="AS157" s="404">
        <v>0</v>
      </c>
      <c r="AT157" s="404">
        <v>0</v>
      </c>
      <c r="AU157" s="404">
        <v>-1</v>
      </c>
      <c r="AV157" s="404">
        <v>0</v>
      </c>
      <c r="AW157" s="404">
        <v>26158</v>
      </c>
      <c r="AX157" s="404">
        <v>0</v>
      </c>
      <c r="AY157" s="404">
        <v>0</v>
      </c>
      <c r="AZ157" s="404">
        <v>0</v>
      </c>
      <c r="BA157" s="404">
        <v>0</v>
      </c>
      <c r="BB157" s="404">
        <v>0</v>
      </c>
      <c r="BC157" s="404">
        <v>1</v>
      </c>
      <c r="BD157" s="404">
        <v>0</v>
      </c>
      <c r="BE157" s="404">
        <v>0</v>
      </c>
      <c r="BF157" s="404">
        <v>0</v>
      </c>
      <c r="BG157" s="404">
        <v>0</v>
      </c>
      <c r="BH157" s="404">
        <v>0</v>
      </c>
      <c r="BI157" s="404">
        <v>0</v>
      </c>
      <c r="BJ157" s="404">
        <v>0</v>
      </c>
      <c r="BK157" s="404">
        <v>0</v>
      </c>
      <c r="BL157" s="404">
        <v>0</v>
      </c>
      <c r="BM157" s="404">
        <v>0</v>
      </c>
      <c r="BN157" s="404">
        <v>0</v>
      </c>
      <c r="BO157" s="404">
        <v>0</v>
      </c>
      <c r="BP157" s="404">
        <v>0</v>
      </c>
      <c r="BQ157" s="404">
        <v>0</v>
      </c>
      <c r="BR157" s="404">
        <v>0</v>
      </c>
      <c r="BS157" s="404">
        <v>0</v>
      </c>
      <c r="BT157" s="404">
        <v>0</v>
      </c>
      <c r="BU157" s="404">
        <v>0</v>
      </c>
      <c r="BV157" s="404">
        <v>0</v>
      </c>
      <c r="BW157" s="404">
        <v>0</v>
      </c>
      <c r="BX157" s="404">
        <v>0</v>
      </c>
      <c r="BY157" s="404">
        <v>0</v>
      </c>
      <c r="BZ157" s="404">
        <v>0</v>
      </c>
      <c r="CA157" s="404">
        <v>0</v>
      </c>
      <c r="CB157" s="404">
        <v>-1033</v>
      </c>
      <c r="CC157" s="404">
        <v>73783</v>
      </c>
      <c r="CD157" s="404">
        <v>0</v>
      </c>
      <c r="CE157" s="404">
        <v>-3</v>
      </c>
      <c r="CF157" s="404">
        <v>0</v>
      </c>
      <c r="CG157" s="404">
        <v>0</v>
      </c>
      <c r="CH157" s="404">
        <v>0</v>
      </c>
      <c r="CI157" s="404">
        <v>0</v>
      </c>
      <c r="CJ157" s="404">
        <v>-705</v>
      </c>
      <c r="CK157" s="404">
        <v>0</v>
      </c>
      <c r="CL157" s="404">
        <v>0</v>
      </c>
      <c r="CM157" s="404">
        <v>0</v>
      </c>
      <c r="CN157" s="404">
        <v>0</v>
      </c>
      <c r="CO157" s="404">
        <v>0</v>
      </c>
      <c r="CP157" s="404">
        <v>-37429</v>
      </c>
      <c r="CQ157" s="404">
        <v>0</v>
      </c>
      <c r="CR157" s="404">
        <v>0</v>
      </c>
    </row>
    <row r="158" spans="1:96" s="404" customFormat="1" x14ac:dyDescent="0.3">
      <c r="A158" s="404">
        <v>508</v>
      </c>
      <c r="B158" s="405">
        <v>508</v>
      </c>
      <c r="C158" s="404">
        <v>508</v>
      </c>
      <c r="D158" s="404" t="s">
        <v>213</v>
      </c>
      <c r="E158" s="404" t="s">
        <v>474</v>
      </c>
      <c r="F158" s="404">
        <v>0</v>
      </c>
      <c r="G158" s="404">
        <v>0</v>
      </c>
      <c r="H158" s="404">
        <v>0</v>
      </c>
      <c r="I158" s="404">
        <v>0</v>
      </c>
      <c r="J158" s="404">
        <v>0</v>
      </c>
      <c r="K158" s="404">
        <v>0</v>
      </c>
      <c r="L158" s="404">
        <v>0</v>
      </c>
      <c r="M158" s="404">
        <v>0</v>
      </c>
      <c r="N158" s="404">
        <v>0</v>
      </c>
      <c r="O158" s="404">
        <v>0</v>
      </c>
      <c r="P158" s="404">
        <v>0</v>
      </c>
      <c r="Q158" s="404">
        <v>0</v>
      </c>
      <c r="R158" s="404">
        <v>0</v>
      </c>
      <c r="S158" s="404">
        <v>0</v>
      </c>
      <c r="T158" s="404">
        <v>0</v>
      </c>
      <c r="U158" s="404">
        <v>0</v>
      </c>
      <c r="V158" s="404">
        <v>0</v>
      </c>
      <c r="W158" s="404">
        <v>0</v>
      </c>
      <c r="X158" s="404">
        <v>0</v>
      </c>
      <c r="Y158" s="404">
        <v>0</v>
      </c>
      <c r="Z158" s="404">
        <v>0</v>
      </c>
      <c r="AA158" s="404">
        <v>0</v>
      </c>
      <c r="AB158" s="404">
        <v>0</v>
      </c>
      <c r="AC158" s="404">
        <v>0</v>
      </c>
      <c r="AD158" s="404">
        <v>0</v>
      </c>
      <c r="AE158" s="404">
        <v>0</v>
      </c>
      <c r="AF158" s="404">
        <v>0</v>
      </c>
      <c r="AG158" s="404">
        <v>0</v>
      </c>
      <c r="AH158" s="404">
        <v>0</v>
      </c>
      <c r="AI158" s="404">
        <v>0</v>
      </c>
      <c r="AJ158" s="404">
        <v>0</v>
      </c>
      <c r="AK158" s="404">
        <v>0</v>
      </c>
      <c r="AL158" s="404">
        <v>0</v>
      </c>
      <c r="AM158" s="404">
        <v>0</v>
      </c>
      <c r="AN158" s="404">
        <v>0</v>
      </c>
      <c r="AO158" s="404">
        <v>0</v>
      </c>
      <c r="AP158" s="404">
        <v>0</v>
      </c>
      <c r="AQ158" s="404">
        <v>0</v>
      </c>
      <c r="AR158" s="404">
        <v>0</v>
      </c>
      <c r="AS158" s="404">
        <v>0</v>
      </c>
      <c r="AT158" s="404">
        <v>0</v>
      </c>
      <c r="AU158" s="404">
        <v>0</v>
      </c>
      <c r="AV158" s="404">
        <v>0</v>
      </c>
      <c r="AW158" s="404">
        <v>0</v>
      </c>
      <c r="AX158" s="404">
        <v>0</v>
      </c>
      <c r="AY158" s="404">
        <v>0</v>
      </c>
      <c r="AZ158" s="404">
        <v>0</v>
      </c>
      <c r="BA158" s="404">
        <v>0</v>
      </c>
      <c r="BB158" s="404">
        <v>0</v>
      </c>
      <c r="BC158" s="404">
        <v>0</v>
      </c>
      <c r="BD158" s="404">
        <v>0</v>
      </c>
      <c r="BE158" s="404">
        <v>0</v>
      </c>
      <c r="BF158" s="404">
        <v>0</v>
      </c>
      <c r="BG158" s="404">
        <v>0</v>
      </c>
      <c r="BH158" s="404">
        <v>0</v>
      </c>
      <c r="BI158" s="404">
        <v>0</v>
      </c>
      <c r="BJ158" s="404">
        <v>0</v>
      </c>
      <c r="BK158" s="404">
        <v>0</v>
      </c>
      <c r="BL158" s="404">
        <v>0</v>
      </c>
      <c r="BM158" s="404">
        <v>0</v>
      </c>
      <c r="BN158" s="404">
        <v>0</v>
      </c>
      <c r="BO158" s="404">
        <v>0</v>
      </c>
      <c r="BP158" s="404">
        <v>0</v>
      </c>
      <c r="BQ158" s="404">
        <v>0</v>
      </c>
      <c r="BR158" s="404">
        <v>0</v>
      </c>
      <c r="BS158" s="404">
        <v>0</v>
      </c>
      <c r="BT158" s="404">
        <v>0</v>
      </c>
      <c r="BU158" s="404">
        <v>0</v>
      </c>
      <c r="BV158" s="404">
        <v>0</v>
      </c>
      <c r="BW158" s="404">
        <v>0</v>
      </c>
      <c r="BX158" s="404">
        <v>0</v>
      </c>
      <c r="BY158" s="404">
        <v>0</v>
      </c>
      <c r="BZ158" s="404">
        <v>0</v>
      </c>
      <c r="CA158" s="404">
        <v>0</v>
      </c>
      <c r="CB158" s="404">
        <v>0</v>
      </c>
      <c r="CC158" s="404">
        <v>0</v>
      </c>
      <c r="CD158" s="404">
        <v>0</v>
      </c>
      <c r="CE158" s="404">
        <v>0</v>
      </c>
      <c r="CF158" s="404">
        <v>0</v>
      </c>
      <c r="CG158" s="404">
        <v>0</v>
      </c>
      <c r="CH158" s="404">
        <v>0</v>
      </c>
      <c r="CI158" s="404">
        <v>0</v>
      </c>
      <c r="CJ158" s="404">
        <v>0</v>
      </c>
      <c r="CK158" s="404">
        <v>0</v>
      </c>
      <c r="CL158" s="404">
        <v>0</v>
      </c>
      <c r="CM158" s="404">
        <v>0</v>
      </c>
      <c r="CN158" s="404">
        <v>0</v>
      </c>
      <c r="CO158" s="404">
        <v>0</v>
      </c>
      <c r="CP158" s="404">
        <v>0</v>
      </c>
      <c r="CQ158" s="404">
        <v>0</v>
      </c>
      <c r="CR158" s="404">
        <v>0</v>
      </c>
    </row>
    <row r="159" spans="1:96" s="404" customFormat="1" x14ac:dyDescent="0.3">
      <c r="A159" s="404">
        <v>509</v>
      </c>
      <c r="B159" s="405">
        <v>509</v>
      </c>
      <c r="C159" s="404">
        <v>509</v>
      </c>
      <c r="D159" s="404" t="s">
        <v>214</v>
      </c>
      <c r="E159" s="404" t="s">
        <v>475</v>
      </c>
      <c r="F159" s="404">
        <v>0</v>
      </c>
      <c r="G159" s="404">
        <v>0</v>
      </c>
      <c r="H159" s="404">
        <v>0</v>
      </c>
      <c r="I159" s="404">
        <v>0</v>
      </c>
      <c r="J159" s="404">
        <v>0</v>
      </c>
      <c r="K159" s="404">
        <v>0</v>
      </c>
      <c r="L159" s="404">
        <v>0</v>
      </c>
      <c r="M159" s="404">
        <v>0</v>
      </c>
      <c r="N159" s="404">
        <v>0</v>
      </c>
      <c r="O159" s="404">
        <v>0</v>
      </c>
      <c r="P159" s="404">
        <v>0</v>
      </c>
      <c r="Q159" s="404">
        <v>0</v>
      </c>
      <c r="R159" s="404">
        <v>0</v>
      </c>
      <c r="S159" s="404">
        <v>0</v>
      </c>
      <c r="T159" s="404">
        <v>0</v>
      </c>
      <c r="U159" s="404">
        <v>0</v>
      </c>
      <c r="V159" s="404">
        <v>0</v>
      </c>
      <c r="W159" s="404">
        <v>0</v>
      </c>
      <c r="X159" s="404">
        <v>0</v>
      </c>
      <c r="Y159" s="404">
        <v>0</v>
      </c>
      <c r="Z159" s="404">
        <v>0</v>
      </c>
      <c r="AA159" s="404">
        <v>0</v>
      </c>
      <c r="AB159" s="404">
        <v>0</v>
      </c>
      <c r="AC159" s="404">
        <v>0</v>
      </c>
      <c r="AD159" s="404">
        <v>0</v>
      </c>
      <c r="AE159" s="404">
        <v>0</v>
      </c>
      <c r="AF159" s="404">
        <v>0</v>
      </c>
      <c r="AG159" s="404">
        <v>0</v>
      </c>
      <c r="AH159" s="404">
        <v>0</v>
      </c>
      <c r="AI159" s="404">
        <v>0</v>
      </c>
      <c r="AJ159" s="404">
        <v>0</v>
      </c>
      <c r="AK159" s="404">
        <v>0</v>
      </c>
      <c r="AL159" s="404">
        <v>0</v>
      </c>
      <c r="AM159" s="404">
        <v>0</v>
      </c>
      <c r="AN159" s="404">
        <v>0</v>
      </c>
      <c r="AO159" s="404">
        <v>0</v>
      </c>
      <c r="AP159" s="404">
        <v>0</v>
      </c>
      <c r="AQ159" s="404">
        <v>0</v>
      </c>
      <c r="AR159" s="404">
        <v>0</v>
      </c>
      <c r="AS159" s="404">
        <v>0</v>
      </c>
      <c r="AT159" s="404">
        <v>0</v>
      </c>
      <c r="AU159" s="404">
        <v>0</v>
      </c>
      <c r="AV159" s="404">
        <v>0</v>
      </c>
      <c r="AW159" s="404">
        <v>0</v>
      </c>
      <c r="AX159" s="404">
        <v>0</v>
      </c>
      <c r="AY159" s="404">
        <v>0</v>
      </c>
      <c r="AZ159" s="404">
        <v>0</v>
      </c>
      <c r="BA159" s="404">
        <v>0</v>
      </c>
      <c r="BB159" s="404">
        <v>0</v>
      </c>
      <c r="BC159" s="404">
        <v>0</v>
      </c>
      <c r="BD159" s="404">
        <v>0</v>
      </c>
      <c r="BE159" s="404">
        <v>0</v>
      </c>
      <c r="BF159" s="404">
        <v>0</v>
      </c>
      <c r="BG159" s="404">
        <v>0</v>
      </c>
      <c r="BH159" s="404">
        <v>0</v>
      </c>
      <c r="BI159" s="404">
        <v>0</v>
      </c>
      <c r="BJ159" s="404">
        <v>0</v>
      </c>
      <c r="BK159" s="404">
        <v>0</v>
      </c>
      <c r="BL159" s="404">
        <v>0</v>
      </c>
      <c r="BM159" s="404">
        <v>0</v>
      </c>
      <c r="BN159" s="404">
        <v>0</v>
      </c>
      <c r="BO159" s="404">
        <v>0</v>
      </c>
      <c r="BP159" s="404">
        <v>0</v>
      </c>
      <c r="BQ159" s="404">
        <v>0</v>
      </c>
      <c r="BR159" s="404">
        <v>0</v>
      </c>
      <c r="BS159" s="404">
        <v>0</v>
      </c>
      <c r="BT159" s="404">
        <v>0</v>
      </c>
      <c r="BU159" s="404">
        <v>0</v>
      </c>
      <c r="BV159" s="404">
        <v>0</v>
      </c>
      <c r="BW159" s="404">
        <v>0</v>
      </c>
      <c r="BX159" s="404">
        <v>0</v>
      </c>
      <c r="BY159" s="404">
        <v>0</v>
      </c>
      <c r="BZ159" s="404">
        <v>0</v>
      </c>
      <c r="CA159" s="404">
        <v>0</v>
      </c>
      <c r="CB159" s="404">
        <v>0</v>
      </c>
      <c r="CC159" s="404">
        <v>0</v>
      </c>
      <c r="CD159" s="404">
        <v>0</v>
      </c>
      <c r="CE159" s="404">
        <v>0</v>
      </c>
      <c r="CF159" s="404">
        <v>0</v>
      </c>
      <c r="CG159" s="404">
        <v>0</v>
      </c>
      <c r="CH159" s="404">
        <v>0</v>
      </c>
      <c r="CI159" s="404">
        <v>0</v>
      </c>
      <c r="CJ159" s="404">
        <v>0</v>
      </c>
      <c r="CK159" s="404">
        <v>0</v>
      </c>
      <c r="CL159" s="404">
        <v>0</v>
      </c>
      <c r="CM159" s="404">
        <v>0</v>
      </c>
      <c r="CN159" s="404">
        <v>0</v>
      </c>
      <c r="CO159" s="404">
        <v>0</v>
      </c>
      <c r="CP159" s="404">
        <v>0</v>
      </c>
      <c r="CQ159" s="404">
        <v>0</v>
      </c>
      <c r="CR159" s="404">
        <v>0</v>
      </c>
    </row>
    <row r="160" spans="1:96" s="404" customFormat="1" x14ac:dyDescent="0.3">
      <c r="A160" s="404">
        <v>510</v>
      </c>
      <c r="B160" s="405">
        <v>510</v>
      </c>
      <c r="C160" s="404">
        <v>510</v>
      </c>
      <c r="D160" s="404" t="s">
        <v>220</v>
      </c>
      <c r="E160" s="404" t="s">
        <v>476</v>
      </c>
      <c r="F160" s="404">
        <v>0</v>
      </c>
      <c r="G160" s="404">
        <v>0</v>
      </c>
      <c r="H160" s="404">
        <v>0</v>
      </c>
      <c r="I160" s="404">
        <v>0</v>
      </c>
      <c r="J160" s="404">
        <v>3873</v>
      </c>
      <c r="K160" s="404">
        <v>0</v>
      </c>
      <c r="L160" s="404">
        <v>222122</v>
      </c>
      <c r="M160" s="404">
        <v>0</v>
      </c>
      <c r="N160" s="404">
        <v>0</v>
      </c>
      <c r="O160" s="404">
        <v>0</v>
      </c>
      <c r="P160" s="404">
        <v>546</v>
      </c>
      <c r="Q160" s="404">
        <v>0</v>
      </c>
      <c r="R160" s="404">
        <v>0</v>
      </c>
      <c r="S160" s="404">
        <v>0</v>
      </c>
      <c r="T160" s="404">
        <v>0</v>
      </c>
      <c r="U160" s="404">
        <v>0</v>
      </c>
      <c r="V160" s="404">
        <v>0</v>
      </c>
      <c r="W160" s="404">
        <v>0</v>
      </c>
      <c r="X160" s="404">
        <v>0</v>
      </c>
      <c r="Y160" s="404">
        <v>0</v>
      </c>
      <c r="Z160" s="404">
        <v>0</v>
      </c>
      <c r="AA160" s="404">
        <v>0</v>
      </c>
      <c r="AB160" s="404">
        <v>80487</v>
      </c>
      <c r="AC160" s="404">
        <v>0</v>
      </c>
      <c r="AD160" s="404">
        <v>0</v>
      </c>
      <c r="AE160" s="404">
        <v>0</v>
      </c>
      <c r="AF160" s="404">
        <v>305336</v>
      </c>
      <c r="AG160" s="404">
        <v>0</v>
      </c>
      <c r="AH160" s="404">
        <v>0</v>
      </c>
      <c r="AI160" s="404">
        <v>0</v>
      </c>
      <c r="AJ160" s="404">
        <v>0</v>
      </c>
      <c r="AK160" s="404">
        <v>0</v>
      </c>
      <c r="AL160" s="404">
        <v>0</v>
      </c>
      <c r="AM160" s="404">
        <v>52669</v>
      </c>
      <c r="AN160" s="404">
        <v>36480</v>
      </c>
      <c r="AO160" s="404">
        <v>0</v>
      </c>
      <c r="AP160" s="404">
        <v>0</v>
      </c>
      <c r="AQ160" s="404">
        <v>245986</v>
      </c>
      <c r="AR160" s="404">
        <v>0</v>
      </c>
      <c r="AS160" s="404">
        <v>0</v>
      </c>
      <c r="AT160" s="404">
        <v>0</v>
      </c>
      <c r="AU160" s="404">
        <v>0</v>
      </c>
      <c r="AV160" s="404">
        <v>0</v>
      </c>
      <c r="AW160" s="404">
        <v>0</v>
      </c>
      <c r="AX160" s="404">
        <v>151775</v>
      </c>
      <c r="AY160" s="404">
        <v>0</v>
      </c>
      <c r="AZ160" s="404">
        <v>0</v>
      </c>
      <c r="BA160" s="404">
        <v>0</v>
      </c>
      <c r="BB160" s="404">
        <v>28300</v>
      </c>
      <c r="BC160" s="404">
        <v>0</v>
      </c>
      <c r="BD160" s="404">
        <v>9820</v>
      </c>
      <c r="BE160" s="404">
        <v>0</v>
      </c>
      <c r="BF160" s="404">
        <v>0</v>
      </c>
      <c r="BG160" s="404">
        <v>73658</v>
      </c>
      <c r="BH160" s="404">
        <v>0</v>
      </c>
      <c r="BI160" s="404">
        <v>159317</v>
      </c>
      <c r="BJ160" s="404">
        <v>0</v>
      </c>
      <c r="BK160" s="404">
        <v>0</v>
      </c>
      <c r="BL160" s="404">
        <v>0</v>
      </c>
      <c r="BM160" s="404">
        <v>199139</v>
      </c>
      <c r="BN160" s="404">
        <v>0</v>
      </c>
      <c r="BO160" s="404">
        <v>0</v>
      </c>
      <c r="BP160" s="404">
        <v>0</v>
      </c>
      <c r="BQ160" s="404">
        <v>70988</v>
      </c>
      <c r="BR160" s="404">
        <v>0</v>
      </c>
      <c r="BS160" s="404">
        <v>0</v>
      </c>
      <c r="BT160" s="404">
        <v>0</v>
      </c>
      <c r="BU160" s="404">
        <v>0</v>
      </c>
      <c r="BV160" s="404">
        <v>0</v>
      </c>
      <c r="BW160" s="404">
        <v>0</v>
      </c>
      <c r="BX160" s="404">
        <v>6820</v>
      </c>
      <c r="BY160" s="404">
        <v>0</v>
      </c>
      <c r="BZ160" s="404">
        <v>0</v>
      </c>
      <c r="CA160" s="404">
        <v>0</v>
      </c>
      <c r="CB160" s="404">
        <v>0</v>
      </c>
      <c r="CC160" s="404">
        <v>0</v>
      </c>
      <c r="CD160" s="404">
        <v>196227</v>
      </c>
      <c r="CE160" s="404">
        <v>0</v>
      </c>
      <c r="CF160" s="404">
        <v>9600</v>
      </c>
      <c r="CG160" s="404">
        <v>0</v>
      </c>
      <c r="CH160" s="404">
        <v>0</v>
      </c>
      <c r="CI160" s="404">
        <v>4233686</v>
      </c>
      <c r="CJ160" s="404">
        <v>97995</v>
      </c>
      <c r="CK160" s="404">
        <v>9477</v>
      </c>
      <c r="CL160" s="404">
        <v>0</v>
      </c>
      <c r="CM160" s="404">
        <v>0</v>
      </c>
      <c r="CN160" s="404">
        <v>82514</v>
      </c>
      <c r="CO160" s="404">
        <v>121696</v>
      </c>
      <c r="CP160" s="404">
        <v>0</v>
      </c>
      <c r="CQ160" s="404">
        <v>0</v>
      </c>
      <c r="CR160" s="404">
        <v>0</v>
      </c>
    </row>
    <row r="161" spans="1:96" s="404" customFormat="1" x14ac:dyDescent="0.3">
      <c r="A161" s="404">
        <v>511</v>
      </c>
      <c r="B161" s="405">
        <v>511</v>
      </c>
      <c r="C161" s="404">
        <v>511</v>
      </c>
      <c r="D161" s="404" t="s">
        <v>225</v>
      </c>
      <c r="E161" s="404" t="s">
        <v>477</v>
      </c>
      <c r="F161" s="404">
        <v>0</v>
      </c>
      <c r="G161" s="404">
        <v>0</v>
      </c>
      <c r="H161" s="404">
        <v>0</v>
      </c>
      <c r="I161" s="404">
        <v>0</v>
      </c>
      <c r="J161" s="404">
        <v>109839</v>
      </c>
      <c r="K161" s="404">
        <v>0</v>
      </c>
      <c r="L161" s="404">
        <v>2064216</v>
      </c>
      <c r="M161" s="404">
        <v>0</v>
      </c>
      <c r="N161" s="404">
        <v>0</v>
      </c>
      <c r="O161" s="404">
        <v>0</v>
      </c>
      <c r="P161" s="404">
        <v>0</v>
      </c>
      <c r="Q161" s="404">
        <v>0</v>
      </c>
      <c r="R161" s="404">
        <v>0</v>
      </c>
      <c r="S161" s="404">
        <v>0</v>
      </c>
      <c r="T161" s="404">
        <v>0</v>
      </c>
      <c r="U161" s="404">
        <v>0</v>
      </c>
      <c r="V161" s="404">
        <v>0</v>
      </c>
      <c r="W161" s="404">
        <v>0</v>
      </c>
      <c r="X161" s="404">
        <v>0</v>
      </c>
      <c r="Y161" s="404">
        <v>0</v>
      </c>
      <c r="Z161" s="404">
        <v>0</v>
      </c>
      <c r="AA161" s="404">
        <v>0</v>
      </c>
      <c r="AB161" s="404">
        <v>1372700</v>
      </c>
      <c r="AC161" s="404">
        <v>0</v>
      </c>
      <c r="AD161" s="404">
        <v>0</v>
      </c>
      <c r="AE161" s="404">
        <v>0</v>
      </c>
      <c r="AF161" s="404">
        <v>0</v>
      </c>
      <c r="AG161" s="404">
        <v>0</v>
      </c>
      <c r="AH161" s="404">
        <v>0</v>
      </c>
      <c r="AI161" s="404">
        <v>0</v>
      </c>
      <c r="AJ161" s="404">
        <v>0</v>
      </c>
      <c r="AK161" s="404">
        <v>0</v>
      </c>
      <c r="AL161" s="404">
        <v>0</v>
      </c>
      <c r="AM161" s="404">
        <v>0</v>
      </c>
      <c r="AN161" s="404">
        <v>0</v>
      </c>
      <c r="AO161" s="404">
        <v>0</v>
      </c>
      <c r="AP161" s="404">
        <v>0</v>
      </c>
      <c r="AQ161" s="404">
        <v>0</v>
      </c>
      <c r="AR161" s="404">
        <v>0</v>
      </c>
      <c r="AS161" s="404">
        <v>0</v>
      </c>
      <c r="AT161" s="404">
        <v>0</v>
      </c>
      <c r="AU161" s="404">
        <v>0</v>
      </c>
      <c r="AV161" s="404">
        <v>0</v>
      </c>
      <c r="AW161" s="404">
        <v>0</v>
      </c>
      <c r="AX161" s="404">
        <v>0</v>
      </c>
      <c r="AY161" s="404">
        <v>0</v>
      </c>
      <c r="AZ161" s="404">
        <v>1666292</v>
      </c>
      <c r="BA161" s="404">
        <v>0</v>
      </c>
      <c r="BB161" s="404">
        <v>0</v>
      </c>
      <c r="BC161" s="404">
        <v>0</v>
      </c>
      <c r="BD161" s="404">
        <v>0</v>
      </c>
      <c r="BE161" s="404">
        <v>0</v>
      </c>
      <c r="BF161" s="404">
        <v>0</v>
      </c>
      <c r="BG161" s="404">
        <v>0</v>
      </c>
      <c r="BH161" s="404">
        <v>0</v>
      </c>
      <c r="BI161" s="404">
        <v>1025301</v>
      </c>
      <c r="BJ161" s="404">
        <v>0</v>
      </c>
      <c r="BK161" s="404">
        <v>0</v>
      </c>
      <c r="BL161" s="404">
        <v>0</v>
      </c>
      <c r="BM161" s="404">
        <v>297771</v>
      </c>
      <c r="BN161" s="404">
        <v>0</v>
      </c>
      <c r="BO161" s="404">
        <v>0</v>
      </c>
      <c r="BP161" s="404">
        <v>0</v>
      </c>
      <c r="BQ161" s="404">
        <v>0</v>
      </c>
      <c r="BR161" s="404">
        <v>0</v>
      </c>
      <c r="BS161" s="404">
        <v>0</v>
      </c>
      <c r="BT161" s="404">
        <v>0</v>
      </c>
      <c r="BU161" s="404">
        <v>0</v>
      </c>
      <c r="BV161" s="404">
        <v>0</v>
      </c>
      <c r="BW161" s="404">
        <v>0</v>
      </c>
      <c r="BX161" s="404">
        <v>0</v>
      </c>
      <c r="BY161" s="404">
        <v>0</v>
      </c>
      <c r="BZ161" s="404">
        <v>0</v>
      </c>
      <c r="CA161" s="404">
        <v>0</v>
      </c>
      <c r="CB161" s="404">
        <v>0</v>
      </c>
      <c r="CC161" s="404">
        <v>0</v>
      </c>
      <c r="CD161" s="404">
        <v>2055671</v>
      </c>
      <c r="CE161" s="404">
        <v>0</v>
      </c>
      <c r="CF161" s="404">
        <v>121624</v>
      </c>
      <c r="CG161" s="404">
        <v>0</v>
      </c>
      <c r="CH161" s="404">
        <v>0</v>
      </c>
      <c r="CI161" s="404">
        <v>0</v>
      </c>
      <c r="CJ161" s="404">
        <v>699064</v>
      </c>
      <c r="CK161" s="404">
        <v>0</v>
      </c>
      <c r="CL161" s="404">
        <v>0</v>
      </c>
      <c r="CM161" s="404">
        <v>0</v>
      </c>
      <c r="CN161" s="404">
        <v>0</v>
      </c>
      <c r="CO161" s="404">
        <v>0</v>
      </c>
      <c r="CP161" s="404">
        <v>0</v>
      </c>
      <c r="CQ161" s="404">
        <v>0</v>
      </c>
      <c r="CR161" s="404">
        <v>0</v>
      </c>
    </row>
    <row r="162" spans="1:96" s="404" customFormat="1" x14ac:dyDescent="0.3">
      <c r="A162" s="404">
        <v>512</v>
      </c>
      <c r="B162" s="405">
        <v>512</v>
      </c>
      <c r="C162" s="404">
        <v>512</v>
      </c>
      <c r="D162" s="404" t="s">
        <v>252</v>
      </c>
      <c r="E162" s="404" t="s">
        <v>478</v>
      </c>
      <c r="F162" s="404">
        <v>0</v>
      </c>
      <c r="G162" s="404">
        <v>0</v>
      </c>
      <c r="H162" s="404">
        <v>0</v>
      </c>
      <c r="I162" s="404">
        <v>0</v>
      </c>
      <c r="J162" s="404">
        <v>0</v>
      </c>
      <c r="K162" s="404">
        <v>0</v>
      </c>
      <c r="L162" s="404">
        <v>3150</v>
      </c>
      <c r="M162" s="404">
        <v>0</v>
      </c>
      <c r="N162" s="404">
        <v>0</v>
      </c>
      <c r="O162" s="404">
        <v>0</v>
      </c>
      <c r="P162" s="404">
        <v>0</v>
      </c>
      <c r="Q162" s="404">
        <v>0</v>
      </c>
      <c r="R162" s="404">
        <v>0</v>
      </c>
      <c r="S162" s="404">
        <v>0</v>
      </c>
      <c r="T162" s="404">
        <v>0</v>
      </c>
      <c r="U162" s="404">
        <v>0</v>
      </c>
      <c r="V162" s="404">
        <v>2831</v>
      </c>
      <c r="W162" s="404">
        <v>0</v>
      </c>
      <c r="X162" s="404">
        <v>0</v>
      </c>
      <c r="Y162" s="404">
        <v>0</v>
      </c>
      <c r="Z162" s="404">
        <v>0</v>
      </c>
      <c r="AA162" s="404">
        <v>0</v>
      </c>
      <c r="AB162" s="404">
        <v>0</v>
      </c>
      <c r="AC162" s="404">
        <v>0</v>
      </c>
      <c r="AD162" s="404">
        <v>0</v>
      </c>
      <c r="AE162" s="404">
        <v>0</v>
      </c>
      <c r="AF162" s="404">
        <v>0</v>
      </c>
      <c r="AG162" s="404">
        <v>0</v>
      </c>
      <c r="AH162" s="404">
        <v>0</v>
      </c>
      <c r="AI162" s="404">
        <v>468</v>
      </c>
      <c r="AJ162" s="404">
        <v>723</v>
      </c>
      <c r="AK162" s="404">
        <v>0</v>
      </c>
      <c r="AL162" s="404">
        <v>0</v>
      </c>
      <c r="AM162" s="404">
        <v>0</v>
      </c>
      <c r="AN162" s="404">
        <v>27248</v>
      </c>
      <c r="AO162" s="404">
        <v>0</v>
      </c>
      <c r="AP162" s="404">
        <v>0</v>
      </c>
      <c r="AQ162" s="404">
        <v>0</v>
      </c>
      <c r="AR162" s="404">
        <v>0</v>
      </c>
      <c r="AS162" s="404">
        <v>0</v>
      </c>
      <c r="AT162" s="404">
        <v>0</v>
      </c>
      <c r="AU162" s="404">
        <v>0</v>
      </c>
      <c r="AV162" s="404">
        <v>0</v>
      </c>
      <c r="AW162" s="404">
        <v>0</v>
      </c>
      <c r="AX162" s="404">
        <v>0</v>
      </c>
      <c r="AY162" s="404">
        <v>0</v>
      </c>
      <c r="AZ162" s="404">
        <v>0</v>
      </c>
      <c r="BA162" s="404">
        <v>0</v>
      </c>
      <c r="BB162" s="404">
        <v>0</v>
      </c>
      <c r="BC162" s="404">
        <v>0</v>
      </c>
      <c r="BD162" s="404">
        <v>2700</v>
      </c>
      <c r="BE162" s="404">
        <v>0</v>
      </c>
      <c r="BF162" s="404">
        <v>0</v>
      </c>
      <c r="BG162" s="404">
        <v>3208</v>
      </c>
      <c r="BH162" s="404">
        <v>0</v>
      </c>
      <c r="BI162" s="404">
        <v>0</v>
      </c>
      <c r="BJ162" s="404">
        <v>0</v>
      </c>
      <c r="BK162" s="404">
        <v>0</v>
      </c>
      <c r="BL162" s="404">
        <v>0</v>
      </c>
      <c r="BM162" s="404">
        <v>0</v>
      </c>
      <c r="BN162" s="404">
        <v>0</v>
      </c>
      <c r="BO162" s="404">
        <v>0</v>
      </c>
      <c r="BP162" s="404">
        <v>0</v>
      </c>
      <c r="BQ162" s="404">
        <v>0</v>
      </c>
      <c r="BR162" s="404">
        <v>0</v>
      </c>
      <c r="BS162" s="404">
        <v>0</v>
      </c>
      <c r="BT162" s="404">
        <v>0</v>
      </c>
      <c r="BU162" s="404">
        <v>0</v>
      </c>
      <c r="BV162" s="404">
        <v>0</v>
      </c>
      <c r="BW162" s="404">
        <v>0</v>
      </c>
      <c r="BX162" s="404">
        <v>0</v>
      </c>
      <c r="BY162" s="404">
        <v>0</v>
      </c>
      <c r="BZ162" s="404">
        <v>0</v>
      </c>
      <c r="CA162" s="404">
        <v>0</v>
      </c>
      <c r="CB162" s="404">
        <v>0</v>
      </c>
      <c r="CC162" s="404">
        <v>3695651</v>
      </c>
      <c r="CD162" s="404">
        <v>3442</v>
      </c>
      <c r="CE162" s="404">
        <v>27238</v>
      </c>
      <c r="CF162" s="404">
        <v>0</v>
      </c>
      <c r="CG162" s="404">
        <v>0</v>
      </c>
      <c r="CH162" s="404">
        <v>0</v>
      </c>
      <c r="CI162" s="404">
        <v>237701279</v>
      </c>
      <c r="CJ162" s="404">
        <v>0</v>
      </c>
      <c r="CK162" s="404">
        <v>0</v>
      </c>
      <c r="CL162" s="404">
        <v>0</v>
      </c>
      <c r="CM162" s="404">
        <v>0</v>
      </c>
      <c r="CN162" s="404">
        <v>0</v>
      </c>
      <c r="CO162" s="404">
        <v>0</v>
      </c>
      <c r="CP162" s="404">
        <v>0</v>
      </c>
      <c r="CQ162" s="404">
        <v>0</v>
      </c>
      <c r="CR162" s="404">
        <v>0</v>
      </c>
    </row>
    <row r="163" spans="1:96" s="404" customFormat="1" x14ac:dyDescent="0.3">
      <c r="A163" s="404">
        <v>513</v>
      </c>
      <c r="B163" s="405">
        <v>513</v>
      </c>
      <c r="C163" s="404">
        <v>513</v>
      </c>
      <c r="D163" s="404" t="s">
        <v>262</v>
      </c>
      <c r="E163" s="404" t="s">
        <v>479</v>
      </c>
      <c r="F163" s="404">
        <v>0</v>
      </c>
      <c r="G163" s="404">
        <v>0</v>
      </c>
      <c r="H163" s="404">
        <v>0</v>
      </c>
      <c r="I163" s="404">
        <v>0</v>
      </c>
      <c r="J163" s="404">
        <v>0</v>
      </c>
      <c r="K163" s="404">
        <v>0</v>
      </c>
      <c r="L163" s="404">
        <v>0</v>
      </c>
      <c r="M163" s="404">
        <v>0</v>
      </c>
      <c r="N163" s="404">
        <v>0</v>
      </c>
      <c r="O163" s="404">
        <v>0</v>
      </c>
      <c r="P163" s="404">
        <v>0</v>
      </c>
      <c r="Q163" s="404">
        <v>0</v>
      </c>
      <c r="R163" s="404">
        <v>0</v>
      </c>
      <c r="S163" s="404">
        <v>0</v>
      </c>
      <c r="T163" s="404">
        <v>0</v>
      </c>
      <c r="U163" s="404">
        <v>0</v>
      </c>
      <c r="V163" s="404">
        <v>0</v>
      </c>
      <c r="W163" s="404">
        <v>0</v>
      </c>
      <c r="X163" s="404">
        <v>0</v>
      </c>
      <c r="Y163" s="404">
        <v>0</v>
      </c>
      <c r="Z163" s="404">
        <v>0</v>
      </c>
      <c r="AA163" s="404">
        <v>0</v>
      </c>
      <c r="AB163" s="404">
        <v>0</v>
      </c>
      <c r="AC163" s="404">
        <v>0</v>
      </c>
      <c r="AD163" s="404">
        <v>0</v>
      </c>
      <c r="AE163" s="404">
        <v>0</v>
      </c>
      <c r="AF163" s="404">
        <v>0</v>
      </c>
      <c r="AG163" s="404">
        <v>0</v>
      </c>
      <c r="AH163" s="404">
        <v>0</v>
      </c>
      <c r="AI163" s="404">
        <v>0</v>
      </c>
      <c r="AJ163" s="404">
        <v>0</v>
      </c>
      <c r="AK163" s="404">
        <v>0</v>
      </c>
      <c r="AL163" s="404">
        <v>0</v>
      </c>
      <c r="AM163" s="404">
        <v>0</v>
      </c>
      <c r="AN163" s="404">
        <v>0</v>
      </c>
      <c r="AO163" s="404">
        <v>0</v>
      </c>
      <c r="AP163" s="404">
        <v>0</v>
      </c>
      <c r="AQ163" s="404">
        <v>0</v>
      </c>
      <c r="AR163" s="404">
        <v>0</v>
      </c>
      <c r="AS163" s="404">
        <v>0</v>
      </c>
      <c r="AT163" s="404">
        <v>0</v>
      </c>
      <c r="AU163" s="404">
        <v>0</v>
      </c>
      <c r="AV163" s="404">
        <v>0</v>
      </c>
      <c r="AW163" s="404">
        <v>0</v>
      </c>
      <c r="AX163" s="404">
        <v>0</v>
      </c>
      <c r="AY163" s="404">
        <v>0</v>
      </c>
      <c r="AZ163" s="404">
        <v>0</v>
      </c>
      <c r="BA163" s="404">
        <v>0</v>
      </c>
      <c r="BB163" s="404">
        <v>0</v>
      </c>
      <c r="BC163" s="404">
        <v>0</v>
      </c>
      <c r="BD163" s="404">
        <v>0</v>
      </c>
      <c r="BE163" s="404">
        <v>0</v>
      </c>
      <c r="BF163" s="404">
        <v>0</v>
      </c>
      <c r="BG163" s="404">
        <v>0</v>
      </c>
      <c r="BH163" s="404">
        <v>0</v>
      </c>
      <c r="BI163" s="404">
        <v>0</v>
      </c>
      <c r="BJ163" s="404">
        <v>0</v>
      </c>
      <c r="BK163" s="404">
        <v>0</v>
      </c>
      <c r="BL163" s="404">
        <v>0</v>
      </c>
      <c r="BM163" s="404">
        <v>0</v>
      </c>
      <c r="BN163" s="404">
        <v>0</v>
      </c>
      <c r="BO163" s="404">
        <v>0</v>
      </c>
      <c r="BP163" s="404">
        <v>0</v>
      </c>
      <c r="BQ163" s="404">
        <v>0</v>
      </c>
      <c r="BR163" s="404">
        <v>0</v>
      </c>
      <c r="BS163" s="404">
        <v>0</v>
      </c>
      <c r="BT163" s="404">
        <v>0</v>
      </c>
      <c r="BU163" s="404">
        <v>0</v>
      </c>
      <c r="BV163" s="404">
        <v>0</v>
      </c>
      <c r="BW163" s="404">
        <v>0</v>
      </c>
      <c r="BX163" s="404">
        <v>0</v>
      </c>
      <c r="BY163" s="404">
        <v>0</v>
      </c>
      <c r="BZ163" s="404">
        <v>0</v>
      </c>
      <c r="CA163" s="404">
        <v>0</v>
      </c>
      <c r="CB163" s="404">
        <v>0</v>
      </c>
      <c r="CC163" s="404">
        <v>0</v>
      </c>
      <c r="CD163" s="404">
        <v>0</v>
      </c>
      <c r="CE163" s="404">
        <v>0</v>
      </c>
      <c r="CF163" s="404">
        <v>0</v>
      </c>
      <c r="CG163" s="404">
        <v>0</v>
      </c>
      <c r="CH163" s="404">
        <v>0</v>
      </c>
      <c r="CI163" s="404">
        <v>0</v>
      </c>
      <c r="CJ163" s="404">
        <v>0</v>
      </c>
      <c r="CK163" s="404">
        <v>0</v>
      </c>
      <c r="CL163" s="404">
        <v>0</v>
      </c>
      <c r="CM163" s="404">
        <v>0</v>
      </c>
      <c r="CN163" s="404">
        <v>0</v>
      </c>
      <c r="CO163" s="404">
        <v>0</v>
      </c>
      <c r="CP163" s="404">
        <v>0</v>
      </c>
      <c r="CQ163" s="404">
        <v>0</v>
      </c>
      <c r="CR163" s="404">
        <v>0</v>
      </c>
    </row>
    <row r="164" spans="1:96" s="404" customFormat="1" x14ac:dyDescent="0.3">
      <c r="A164" s="404">
        <v>514</v>
      </c>
      <c r="B164" s="405">
        <v>514</v>
      </c>
      <c r="C164" s="404">
        <v>514</v>
      </c>
      <c r="D164" s="404" t="s">
        <v>263</v>
      </c>
      <c r="E164" s="404" t="s">
        <v>480</v>
      </c>
      <c r="F164" s="404">
        <v>0</v>
      </c>
      <c r="G164" s="404">
        <v>0</v>
      </c>
      <c r="H164" s="404">
        <v>0</v>
      </c>
      <c r="I164" s="404">
        <v>0</v>
      </c>
      <c r="J164" s="404">
        <v>290000</v>
      </c>
      <c r="K164" s="404">
        <v>0</v>
      </c>
      <c r="L164" s="404">
        <v>1718953</v>
      </c>
      <c r="M164" s="404">
        <v>0</v>
      </c>
      <c r="N164" s="404">
        <v>0</v>
      </c>
      <c r="O164" s="404">
        <v>0</v>
      </c>
      <c r="P164" s="404">
        <v>0</v>
      </c>
      <c r="Q164" s="404">
        <v>0</v>
      </c>
      <c r="R164" s="404">
        <v>0</v>
      </c>
      <c r="S164" s="404">
        <v>0</v>
      </c>
      <c r="T164" s="404">
        <v>0</v>
      </c>
      <c r="U164" s="404">
        <v>0</v>
      </c>
      <c r="V164" s="404">
        <v>0</v>
      </c>
      <c r="W164" s="404">
        <v>0</v>
      </c>
      <c r="X164" s="404">
        <v>0</v>
      </c>
      <c r="Y164" s="404">
        <v>0</v>
      </c>
      <c r="Z164" s="404">
        <v>0</v>
      </c>
      <c r="AA164" s="404">
        <v>0</v>
      </c>
      <c r="AB164" s="404">
        <v>1768044</v>
      </c>
      <c r="AC164" s="404">
        <v>0</v>
      </c>
      <c r="AD164" s="404">
        <v>0</v>
      </c>
      <c r="AE164" s="404">
        <v>0</v>
      </c>
      <c r="AF164" s="404">
        <v>0</v>
      </c>
      <c r="AG164" s="404">
        <v>0</v>
      </c>
      <c r="AH164" s="404">
        <v>0</v>
      </c>
      <c r="AI164" s="404">
        <v>0</v>
      </c>
      <c r="AJ164" s="404">
        <v>0</v>
      </c>
      <c r="AK164" s="404">
        <v>0</v>
      </c>
      <c r="AL164" s="404">
        <v>0</v>
      </c>
      <c r="AM164" s="404">
        <v>0</v>
      </c>
      <c r="AN164" s="404">
        <v>0</v>
      </c>
      <c r="AO164" s="404">
        <v>0</v>
      </c>
      <c r="AP164" s="404">
        <v>0</v>
      </c>
      <c r="AQ164" s="404">
        <v>0</v>
      </c>
      <c r="AR164" s="404">
        <v>0</v>
      </c>
      <c r="AS164" s="404">
        <v>0</v>
      </c>
      <c r="AT164" s="404">
        <v>0</v>
      </c>
      <c r="AU164" s="404">
        <v>0</v>
      </c>
      <c r="AV164" s="404">
        <v>0</v>
      </c>
      <c r="AW164" s="404">
        <v>0</v>
      </c>
      <c r="AX164" s="404">
        <v>0</v>
      </c>
      <c r="AY164" s="404">
        <v>0</v>
      </c>
      <c r="AZ164" s="404">
        <v>0</v>
      </c>
      <c r="BA164" s="404">
        <v>0</v>
      </c>
      <c r="BB164" s="404">
        <v>0</v>
      </c>
      <c r="BC164" s="404">
        <v>0</v>
      </c>
      <c r="BD164" s="404">
        <v>0</v>
      </c>
      <c r="BE164" s="404">
        <v>0</v>
      </c>
      <c r="BF164" s="404">
        <v>0</v>
      </c>
      <c r="BG164" s="404">
        <v>0</v>
      </c>
      <c r="BH164" s="404">
        <v>0</v>
      </c>
      <c r="BI164" s="404">
        <v>1591620</v>
      </c>
      <c r="BJ164" s="404">
        <v>0</v>
      </c>
      <c r="BK164" s="404">
        <v>0</v>
      </c>
      <c r="BL164" s="404">
        <v>0</v>
      </c>
      <c r="BM164" s="404">
        <v>1275600</v>
      </c>
      <c r="BN164" s="404">
        <v>0</v>
      </c>
      <c r="BO164" s="404">
        <v>0</v>
      </c>
      <c r="BP164" s="404">
        <v>0</v>
      </c>
      <c r="BQ164" s="404">
        <v>0</v>
      </c>
      <c r="BR164" s="404">
        <v>0</v>
      </c>
      <c r="BS164" s="404">
        <v>0</v>
      </c>
      <c r="BT164" s="404">
        <v>0</v>
      </c>
      <c r="BU164" s="404">
        <v>0</v>
      </c>
      <c r="BV164" s="404">
        <v>0</v>
      </c>
      <c r="BW164" s="404">
        <v>0</v>
      </c>
      <c r="BX164" s="404">
        <v>0</v>
      </c>
      <c r="BY164" s="404">
        <v>0</v>
      </c>
      <c r="BZ164" s="404">
        <v>0</v>
      </c>
      <c r="CA164" s="404">
        <v>0</v>
      </c>
      <c r="CB164" s="404">
        <v>0</v>
      </c>
      <c r="CC164" s="404">
        <v>0</v>
      </c>
      <c r="CD164" s="404">
        <v>2305890</v>
      </c>
      <c r="CE164" s="404">
        <v>0</v>
      </c>
      <c r="CF164" s="404">
        <v>1048000</v>
      </c>
      <c r="CG164" s="404">
        <v>0</v>
      </c>
      <c r="CH164" s="404">
        <v>0</v>
      </c>
      <c r="CI164" s="404">
        <v>0</v>
      </c>
      <c r="CJ164" s="404">
        <v>500000</v>
      </c>
      <c r="CK164" s="404">
        <v>0</v>
      </c>
      <c r="CL164" s="404">
        <v>0</v>
      </c>
      <c r="CM164" s="404">
        <v>0</v>
      </c>
      <c r="CN164" s="404">
        <v>0</v>
      </c>
      <c r="CO164" s="404">
        <v>0</v>
      </c>
      <c r="CP164" s="404">
        <v>0</v>
      </c>
      <c r="CQ164" s="404">
        <v>0</v>
      </c>
      <c r="CR164" s="404">
        <v>0</v>
      </c>
    </row>
    <row r="165" spans="1:96" s="404" customFormat="1" x14ac:dyDescent="0.3">
      <c r="A165" s="404">
        <v>515</v>
      </c>
      <c r="B165" s="405">
        <v>515</v>
      </c>
      <c r="C165" s="404">
        <v>515</v>
      </c>
      <c r="D165" s="404" t="s">
        <v>276</v>
      </c>
      <c r="E165" s="404" t="s">
        <v>481</v>
      </c>
      <c r="F165" s="404">
        <v>0</v>
      </c>
      <c r="G165" s="404">
        <v>0</v>
      </c>
      <c r="H165" s="404">
        <v>0</v>
      </c>
      <c r="I165" s="404">
        <v>50876</v>
      </c>
      <c r="J165" s="404">
        <v>36853</v>
      </c>
      <c r="K165" s="404">
        <v>0</v>
      </c>
      <c r="L165" s="404">
        <v>0</v>
      </c>
      <c r="M165" s="404">
        <v>0</v>
      </c>
      <c r="N165" s="404">
        <v>0</v>
      </c>
      <c r="O165" s="404">
        <v>0</v>
      </c>
      <c r="P165" s="404">
        <v>0</v>
      </c>
      <c r="Q165" s="404">
        <v>0</v>
      </c>
      <c r="R165" s="404">
        <v>10803</v>
      </c>
      <c r="S165" s="404">
        <v>0</v>
      </c>
      <c r="T165" s="404">
        <v>0</v>
      </c>
      <c r="U165" s="404">
        <v>0</v>
      </c>
      <c r="V165" s="404">
        <v>0</v>
      </c>
      <c r="W165" s="404">
        <v>0</v>
      </c>
      <c r="X165" s="404">
        <v>0</v>
      </c>
      <c r="Y165" s="404">
        <v>0</v>
      </c>
      <c r="Z165" s="404">
        <v>0</v>
      </c>
      <c r="AA165" s="404">
        <v>0</v>
      </c>
      <c r="AB165" s="404">
        <v>0</v>
      </c>
      <c r="AC165" s="404">
        <v>139025</v>
      </c>
      <c r="AD165" s="404">
        <v>0</v>
      </c>
      <c r="AE165" s="404">
        <v>0</v>
      </c>
      <c r="AF165" s="404">
        <v>7582068</v>
      </c>
      <c r="AG165" s="404">
        <v>0</v>
      </c>
      <c r="AH165" s="404">
        <v>5000</v>
      </c>
      <c r="AI165" s="404">
        <v>0</v>
      </c>
      <c r="AJ165" s="404">
        <v>0</v>
      </c>
      <c r="AK165" s="404">
        <v>4367</v>
      </c>
      <c r="AL165" s="404">
        <v>361707</v>
      </c>
      <c r="AM165" s="404">
        <v>2935237</v>
      </c>
      <c r="AN165" s="404">
        <v>105011</v>
      </c>
      <c r="AO165" s="404">
        <v>0</v>
      </c>
      <c r="AP165" s="404">
        <v>0</v>
      </c>
      <c r="AQ165" s="404">
        <v>0</v>
      </c>
      <c r="AR165" s="404">
        <v>0</v>
      </c>
      <c r="AS165" s="404">
        <v>0</v>
      </c>
      <c r="AT165" s="404">
        <v>0</v>
      </c>
      <c r="AU165" s="404">
        <v>0</v>
      </c>
      <c r="AV165" s="404">
        <v>0</v>
      </c>
      <c r="AW165" s="404">
        <v>0</v>
      </c>
      <c r="AX165" s="404">
        <v>0</v>
      </c>
      <c r="AY165" s="404">
        <v>0</v>
      </c>
      <c r="AZ165" s="404">
        <v>0</v>
      </c>
      <c r="BA165" s="404">
        <v>0</v>
      </c>
      <c r="BB165" s="404">
        <v>91344</v>
      </c>
      <c r="BC165" s="404">
        <v>0</v>
      </c>
      <c r="BD165" s="404">
        <v>0</v>
      </c>
      <c r="BE165" s="404">
        <v>0</v>
      </c>
      <c r="BF165" s="404">
        <v>0</v>
      </c>
      <c r="BG165" s="404">
        <v>0</v>
      </c>
      <c r="BH165" s="404">
        <v>0</v>
      </c>
      <c r="BI165" s="404">
        <v>9663541</v>
      </c>
      <c r="BJ165" s="404">
        <v>0</v>
      </c>
      <c r="BK165" s="404">
        <v>0</v>
      </c>
      <c r="BL165" s="404">
        <v>0</v>
      </c>
      <c r="BM165" s="404">
        <v>10522228</v>
      </c>
      <c r="BN165" s="404">
        <v>0</v>
      </c>
      <c r="BO165" s="404">
        <v>0</v>
      </c>
      <c r="BP165" s="404">
        <v>0</v>
      </c>
      <c r="BQ165" s="404">
        <v>116102</v>
      </c>
      <c r="BR165" s="404">
        <v>0</v>
      </c>
      <c r="BS165" s="404">
        <v>0</v>
      </c>
      <c r="BT165" s="404">
        <v>0</v>
      </c>
      <c r="BU165" s="404">
        <v>0</v>
      </c>
      <c r="BV165" s="404">
        <v>0</v>
      </c>
      <c r="BW165" s="404">
        <v>0</v>
      </c>
      <c r="BX165" s="404">
        <v>0</v>
      </c>
      <c r="BY165" s="404">
        <v>0</v>
      </c>
      <c r="BZ165" s="404">
        <v>0</v>
      </c>
      <c r="CA165" s="404">
        <v>0</v>
      </c>
      <c r="CB165" s="404">
        <v>241512</v>
      </c>
      <c r="CC165" s="404">
        <v>0</v>
      </c>
      <c r="CD165" s="404">
        <v>11335426</v>
      </c>
      <c r="CE165" s="404">
        <v>0</v>
      </c>
      <c r="CF165" s="404">
        <v>0</v>
      </c>
      <c r="CG165" s="404">
        <v>0</v>
      </c>
      <c r="CH165" s="404">
        <v>1249236</v>
      </c>
      <c r="CI165" s="404">
        <v>281323166</v>
      </c>
      <c r="CJ165" s="404">
        <v>0</v>
      </c>
      <c r="CK165" s="404">
        <v>21286</v>
      </c>
      <c r="CL165" s="404">
        <v>0</v>
      </c>
      <c r="CM165" s="404">
        <v>0</v>
      </c>
      <c r="CN165" s="404">
        <v>0</v>
      </c>
      <c r="CO165" s="404">
        <v>0</v>
      </c>
      <c r="CP165" s="404">
        <v>627039</v>
      </c>
      <c r="CQ165" s="404">
        <v>0</v>
      </c>
      <c r="CR165" s="404">
        <v>0</v>
      </c>
    </row>
    <row r="166" spans="1:96" s="404" customFormat="1" x14ac:dyDescent="0.3">
      <c r="A166" s="404">
        <v>516</v>
      </c>
      <c r="B166" s="405">
        <v>516</v>
      </c>
      <c r="C166" s="404">
        <v>516</v>
      </c>
      <c r="D166" s="404" t="s">
        <v>277</v>
      </c>
      <c r="E166" s="404" t="s">
        <v>482</v>
      </c>
      <c r="F166" s="404">
        <v>0</v>
      </c>
      <c r="G166" s="404">
        <v>0</v>
      </c>
      <c r="H166" s="404">
        <v>5942693</v>
      </c>
      <c r="I166" s="404">
        <v>21136505</v>
      </c>
      <c r="J166" s="404">
        <v>11079784</v>
      </c>
      <c r="K166" s="404">
        <v>4646326</v>
      </c>
      <c r="L166" s="404">
        <v>121265952</v>
      </c>
      <c r="M166" s="404">
        <v>7563798</v>
      </c>
      <c r="N166" s="404">
        <v>0</v>
      </c>
      <c r="O166" s="404">
        <v>4580828</v>
      </c>
      <c r="P166" s="404">
        <v>9247419</v>
      </c>
      <c r="Q166" s="404">
        <v>0</v>
      </c>
      <c r="R166" s="404">
        <v>5562154</v>
      </c>
      <c r="S166" s="404">
        <v>0</v>
      </c>
      <c r="T166" s="404">
        <v>0</v>
      </c>
      <c r="U166" s="404">
        <v>0</v>
      </c>
      <c r="V166" s="404">
        <v>48231884</v>
      </c>
      <c r="W166" s="404">
        <v>0</v>
      </c>
      <c r="X166" s="404">
        <v>3317105</v>
      </c>
      <c r="Y166" s="404">
        <v>0</v>
      </c>
      <c r="Z166" s="404">
        <v>15430606</v>
      </c>
      <c r="AA166" s="404">
        <v>0</v>
      </c>
      <c r="AB166" s="404">
        <v>39125109</v>
      </c>
      <c r="AC166" s="404">
        <v>17782323</v>
      </c>
      <c r="AD166" s="404">
        <v>1507187</v>
      </c>
      <c r="AE166" s="404">
        <v>4011096</v>
      </c>
      <c r="AF166" s="404">
        <v>38211904</v>
      </c>
      <c r="AG166" s="404">
        <v>0</v>
      </c>
      <c r="AH166" s="404">
        <v>5826567</v>
      </c>
      <c r="AI166" s="404">
        <v>0</v>
      </c>
      <c r="AJ166" s="404">
        <v>5317219</v>
      </c>
      <c r="AK166" s="404">
        <v>30740175</v>
      </c>
      <c r="AL166" s="404">
        <v>21495325</v>
      </c>
      <c r="AM166" s="404">
        <v>11131576</v>
      </c>
      <c r="AN166" s="404">
        <v>13997408</v>
      </c>
      <c r="AO166" s="404">
        <v>0</v>
      </c>
      <c r="AP166" s="404">
        <v>0</v>
      </c>
      <c r="AQ166" s="404">
        <v>43338849</v>
      </c>
      <c r="AR166" s="404">
        <v>0</v>
      </c>
      <c r="AS166" s="404">
        <v>0</v>
      </c>
      <c r="AT166" s="404">
        <v>0</v>
      </c>
      <c r="AU166" s="404">
        <v>0</v>
      </c>
      <c r="AV166" s="404">
        <v>0</v>
      </c>
      <c r="AW166" s="404">
        <v>1063713</v>
      </c>
      <c r="AX166" s="404">
        <v>20613102</v>
      </c>
      <c r="AY166" s="404">
        <v>0</v>
      </c>
      <c r="AZ166" s="404">
        <v>0</v>
      </c>
      <c r="BA166" s="404">
        <v>0</v>
      </c>
      <c r="BB166" s="404">
        <v>30319818</v>
      </c>
      <c r="BC166" s="404">
        <v>0</v>
      </c>
      <c r="BD166" s="404">
        <v>6324198</v>
      </c>
      <c r="BE166" s="404">
        <v>3178805</v>
      </c>
      <c r="BF166" s="404">
        <v>2431041</v>
      </c>
      <c r="BG166" s="404">
        <v>6023025</v>
      </c>
      <c r="BH166" s="404">
        <v>24467012</v>
      </c>
      <c r="BI166" s="404">
        <v>58939082</v>
      </c>
      <c r="BJ166" s="404">
        <v>0</v>
      </c>
      <c r="BK166" s="404">
        <v>0</v>
      </c>
      <c r="BL166" s="404">
        <v>0</v>
      </c>
      <c r="BM166" s="404">
        <v>35149954</v>
      </c>
      <c r="BN166" s="404">
        <v>13994067</v>
      </c>
      <c r="BO166" s="404">
        <v>0</v>
      </c>
      <c r="BP166" s="404">
        <v>0</v>
      </c>
      <c r="BQ166" s="404">
        <v>12854573</v>
      </c>
      <c r="BR166" s="404">
        <v>0</v>
      </c>
      <c r="BS166" s="404">
        <v>0</v>
      </c>
      <c r="BT166" s="404">
        <v>0</v>
      </c>
      <c r="BU166" s="404">
        <v>14438694</v>
      </c>
      <c r="BV166" s="404">
        <v>0</v>
      </c>
      <c r="BW166" s="404">
        <v>0</v>
      </c>
      <c r="BX166" s="404">
        <v>6989379</v>
      </c>
      <c r="BY166" s="404">
        <v>25680104</v>
      </c>
      <c r="BZ166" s="404">
        <v>688680</v>
      </c>
      <c r="CA166" s="404">
        <v>0</v>
      </c>
      <c r="CB166" s="404">
        <v>29485879</v>
      </c>
      <c r="CC166" s="404">
        <v>0</v>
      </c>
      <c r="CD166" s="404">
        <v>192743232</v>
      </c>
      <c r="CE166" s="404">
        <v>6683482</v>
      </c>
      <c r="CF166" s="404">
        <v>11076601</v>
      </c>
      <c r="CG166" s="404">
        <v>7788988</v>
      </c>
      <c r="CH166" s="404">
        <v>10193237</v>
      </c>
      <c r="CI166" s="404">
        <v>972379618</v>
      </c>
      <c r="CJ166" s="404">
        <v>11802448</v>
      </c>
      <c r="CK166" s="404">
        <v>7246427</v>
      </c>
      <c r="CL166" s="404">
        <v>0</v>
      </c>
      <c r="CM166" s="404">
        <v>2449910</v>
      </c>
      <c r="CN166" s="404">
        <v>9768894</v>
      </c>
      <c r="CO166" s="404">
        <v>22672087</v>
      </c>
      <c r="CP166" s="404">
        <v>13700853</v>
      </c>
      <c r="CQ166" s="404">
        <v>0</v>
      </c>
      <c r="CR166" s="404">
        <v>0</v>
      </c>
    </row>
    <row r="167" spans="1:96" s="404" customFormat="1" x14ac:dyDescent="0.3">
      <c r="A167" s="404">
        <v>517</v>
      </c>
      <c r="B167" s="405">
        <v>517</v>
      </c>
      <c r="C167" s="404">
        <v>517</v>
      </c>
      <c r="D167" s="404" t="s">
        <v>278</v>
      </c>
      <c r="E167" s="404" t="s">
        <v>483</v>
      </c>
      <c r="F167" s="404">
        <v>0</v>
      </c>
      <c r="G167" s="404">
        <v>0</v>
      </c>
      <c r="H167" s="404">
        <v>0</v>
      </c>
      <c r="I167" s="404">
        <v>0</v>
      </c>
      <c r="J167" s="404">
        <v>0</v>
      </c>
      <c r="K167" s="404">
        <v>0</v>
      </c>
      <c r="L167" s="404">
        <v>0</v>
      </c>
      <c r="M167" s="404">
        <v>0</v>
      </c>
      <c r="N167" s="404">
        <v>0</v>
      </c>
      <c r="O167" s="404">
        <v>0</v>
      </c>
      <c r="P167" s="404">
        <v>0</v>
      </c>
      <c r="Q167" s="404">
        <v>0</v>
      </c>
      <c r="R167" s="404">
        <v>5890</v>
      </c>
      <c r="S167" s="404">
        <v>0</v>
      </c>
      <c r="T167" s="404">
        <v>0</v>
      </c>
      <c r="U167" s="404">
        <v>0</v>
      </c>
      <c r="V167" s="404">
        <v>0</v>
      </c>
      <c r="W167" s="404">
        <v>0</v>
      </c>
      <c r="X167" s="404">
        <v>0</v>
      </c>
      <c r="Y167" s="404">
        <v>0</v>
      </c>
      <c r="Z167" s="404">
        <v>0</v>
      </c>
      <c r="AA167" s="404">
        <v>0</v>
      </c>
      <c r="AB167" s="404">
        <v>0</v>
      </c>
      <c r="AC167" s="404">
        <v>0</v>
      </c>
      <c r="AD167" s="404">
        <v>0</v>
      </c>
      <c r="AE167" s="404">
        <v>0</v>
      </c>
      <c r="AF167" s="404">
        <v>57853032</v>
      </c>
      <c r="AG167" s="404">
        <v>0</v>
      </c>
      <c r="AH167" s="404">
        <v>0</v>
      </c>
      <c r="AI167" s="404">
        <v>0</v>
      </c>
      <c r="AJ167" s="404">
        <v>0</v>
      </c>
      <c r="AK167" s="404">
        <v>0</v>
      </c>
      <c r="AL167" s="404">
        <v>0</v>
      </c>
      <c r="AM167" s="404">
        <v>0</v>
      </c>
      <c r="AN167" s="404">
        <v>0</v>
      </c>
      <c r="AO167" s="404">
        <v>0</v>
      </c>
      <c r="AP167" s="404">
        <v>0</v>
      </c>
      <c r="AQ167" s="404">
        <v>0</v>
      </c>
      <c r="AR167" s="404">
        <v>0</v>
      </c>
      <c r="AS167" s="404">
        <v>0</v>
      </c>
      <c r="AT167" s="404">
        <v>0</v>
      </c>
      <c r="AU167" s="404">
        <v>0</v>
      </c>
      <c r="AV167" s="404">
        <v>0</v>
      </c>
      <c r="AW167" s="404">
        <v>0</v>
      </c>
      <c r="AX167" s="404">
        <v>0</v>
      </c>
      <c r="AY167" s="404">
        <v>4757339</v>
      </c>
      <c r="AZ167" s="404">
        <v>0</v>
      </c>
      <c r="BA167" s="404">
        <v>0</v>
      </c>
      <c r="BB167" s="404">
        <v>0</v>
      </c>
      <c r="BC167" s="404">
        <v>0</v>
      </c>
      <c r="BD167" s="404">
        <v>0</v>
      </c>
      <c r="BE167" s="404">
        <v>0</v>
      </c>
      <c r="BF167" s="404">
        <v>0</v>
      </c>
      <c r="BG167" s="404">
        <v>0</v>
      </c>
      <c r="BH167" s="404">
        <v>0</v>
      </c>
      <c r="BI167" s="404">
        <v>0</v>
      </c>
      <c r="BJ167" s="404">
        <v>0</v>
      </c>
      <c r="BK167" s="404">
        <v>0</v>
      </c>
      <c r="BL167" s="404">
        <v>0</v>
      </c>
      <c r="BM167" s="404">
        <v>0</v>
      </c>
      <c r="BN167" s="404">
        <v>0</v>
      </c>
      <c r="BO167" s="404">
        <v>0</v>
      </c>
      <c r="BP167" s="404">
        <v>0</v>
      </c>
      <c r="BQ167" s="404">
        <v>0</v>
      </c>
      <c r="BR167" s="404">
        <v>0</v>
      </c>
      <c r="BS167" s="404">
        <v>0</v>
      </c>
      <c r="BT167" s="404">
        <v>0</v>
      </c>
      <c r="BU167" s="404">
        <v>0</v>
      </c>
      <c r="BV167" s="404">
        <v>0</v>
      </c>
      <c r="BW167" s="404">
        <v>0</v>
      </c>
      <c r="BX167" s="404">
        <v>0</v>
      </c>
      <c r="BY167" s="404">
        <v>0</v>
      </c>
      <c r="BZ167" s="404">
        <v>0</v>
      </c>
      <c r="CA167" s="404">
        <v>0</v>
      </c>
      <c r="CB167" s="404">
        <v>0</v>
      </c>
      <c r="CC167" s="404">
        <v>0</v>
      </c>
      <c r="CD167" s="404">
        <v>0</v>
      </c>
      <c r="CE167" s="404">
        <v>0</v>
      </c>
      <c r="CF167" s="404">
        <v>0</v>
      </c>
      <c r="CG167" s="404">
        <v>0</v>
      </c>
      <c r="CH167" s="404">
        <v>338722</v>
      </c>
      <c r="CI167" s="404">
        <v>0</v>
      </c>
      <c r="CJ167" s="404">
        <v>0</v>
      </c>
      <c r="CK167" s="404">
        <v>0</v>
      </c>
      <c r="CL167" s="404">
        <v>0</v>
      </c>
      <c r="CM167" s="404">
        <v>0</v>
      </c>
      <c r="CN167" s="404">
        <v>0</v>
      </c>
      <c r="CO167" s="404">
        <v>0</v>
      </c>
      <c r="CP167" s="404">
        <v>0</v>
      </c>
      <c r="CQ167" s="404">
        <v>0</v>
      </c>
      <c r="CR167" s="404">
        <v>0</v>
      </c>
    </row>
    <row r="168" spans="1:96" s="404" customFormat="1" x14ac:dyDescent="0.3">
      <c r="A168" s="404">
        <v>518</v>
      </c>
      <c r="B168" s="405">
        <v>518</v>
      </c>
      <c r="C168" s="404">
        <v>518</v>
      </c>
      <c r="D168" s="404" t="s">
        <v>279</v>
      </c>
      <c r="E168" s="404" t="s">
        <v>484</v>
      </c>
      <c r="F168" s="404">
        <v>0</v>
      </c>
      <c r="G168" s="404">
        <v>0</v>
      </c>
      <c r="H168" s="404">
        <v>0</v>
      </c>
      <c r="I168" s="404">
        <v>462696</v>
      </c>
      <c r="J168" s="404">
        <v>522920</v>
      </c>
      <c r="K168" s="404">
        <v>230227</v>
      </c>
      <c r="L168" s="404">
        <v>5607712</v>
      </c>
      <c r="M168" s="404">
        <v>46643</v>
      </c>
      <c r="N168" s="404">
        <v>0</v>
      </c>
      <c r="O168" s="404">
        <v>9000</v>
      </c>
      <c r="P168" s="404">
        <v>483347</v>
      </c>
      <c r="Q168" s="404">
        <v>0</v>
      </c>
      <c r="R168" s="404">
        <v>162841</v>
      </c>
      <c r="S168" s="404">
        <v>0</v>
      </c>
      <c r="T168" s="404">
        <v>0</v>
      </c>
      <c r="U168" s="404">
        <v>0</v>
      </c>
      <c r="V168" s="404">
        <v>802937</v>
      </c>
      <c r="W168" s="404">
        <v>0</v>
      </c>
      <c r="X168" s="404">
        <v>115044</v>
      </c>
      <c r="Y168" s="404">
        <v>0</v>
      </c>
      <c r="Z168" s="404">
        <v>114194</v>
      </c>
      <c r="AA168" s="404">
        <v>0</v>
      </c>
      <c r="AB168" s="404">
        <v>2247165</v>
      </c>
      <c r="AC168" s="404">
        <v>1407133</v>
      </c>
      <c r="AD168" s="404">
        <v>9619</v>
      </c>
      <c r="AE168" s="404">
        <v>30988</v>
      </c>
      <c r="AF168" s="404">
        <v>4640440</v>
      </c>
      <c r="AG168" s="404">
        <v>0</v>
      </c>
      <c r="AH168" s="404">
        <v>312858</v>
      </c>
      <c r="AI168" s="404">
        <v>0</v>
      </c>
      <c r="AJ168" s="404">
        <v>10314</v>
      </c>
      <c r="AK168" s="404">
        <v>149037</v>
      </c>
      <c r="AL168" s="404">
        <v>1464859</v>
      </c>
      <c r="AM168" s="404">
        <v>1993875</v>
      </c>
      <c r="AN168" s="404">
        <v>1666017</v>
      </c>
      <c r="AO168" s="404">
        <v>568799</v>
      </c>
      <c r="AP168" s="404">
        <v>0</v>
      </c>
      <c r="AQ168" s="404">
        <v>2135537</v>
      </c>
      <c r="AR168" s="404">
        <v>0</v>
      </c>
      <c r="AS168" s="404">
        <v>0</v>
      </c>
      <c r="AT168" s="404">
        <v>0</v>
      </c>
      <c r="AU168" s="404">
        <v>0</v>
      </c>
      <c r="AV168" s="404">
        <v>0</v>
      </c>
      <c r="AW168" s="404">
        <v>3513</v>
      </c>
      <c r="AX168" s="404">
        <v>1432335</v>
      </c>
      <c r="AY168" s="404">
        <v>108055</v>
      </c>
      <c r="AZ168" s="404">
        <v>0</v>
      </c>
      <c r="BA168" s="404">
        <v>0</v>
      </c>
      <c r="BB168" s="404">
        <v>1908057</v>
      </c>
      <c r="BC168" s="404">
        <v>0</v>
      </c>
      <c r="BD168" s="404">
        <v>601365</v>
      </c>
      <c r="BE168" s="404">
        <v>0</v>
      </c>
      <c r="BF168" s="404">
        <v>73206</v>
      </c>
      <c r="BG168" s="404">
        <v>5534935</v>
      </c>
      <c r="BH168" s="404">
        <v>415249</v>
      </c>
      <c r="BI168" s="404">
        <v>7831691</v>
      </c>
      <c r="BJ168" s="404">
        <v>0</v>
      </c>
      <c r="BK168" s="404">
        <v>0</v>
      </c>
      <c r="BL168" s="404">
        <v>0</v>
      </c>
      <c r="BM168" s="404">
        <v>2842989</v>
      </c>
      <c r="BN168" s="404">
        <v>1809841</v>
      </c>
      <c r="BO168" s="404">
        <v>0</v>
      </c>
      <c r="BP168" s="404">
        <v>0</v>
      </c>
      <c r="BQ168" s="404">
        <v>1186224</v>
      </c>
      <c r="BR168" s="404">
        <v>0</v>
      </c>
      <c r="BS168" s="404">
        <v>0</v>
      </c>
      <c r="BT168" s="404">
        <v>0</v>
      </c>
      <c r="BU168" s="404">
        <v>859714</v>
      </c>
      <c r="BV168" s="404">
        <v>0</v>
      </c>
      <c r="BW168" s="404">
        <v>0</v>
      </c>
      <c r="BX168" s="404">
        <v>753768</v>
      </c>
      <c r="BY168" s="404">
        <v>1775070</v>
      </c>
      <c r="BZ168" s="404">
        <v>0</v>
      </c>
      <c r="CA168" s="404">
        <v>0</v>
      </c>
      <c r="CB168" s="404">
        <v>1193700</v>
      </c>
      <c r="CC168" s="404">
        <v>0</v>
      </c>
      <c r="CD168" s="404">
        <v>16647811</v>
      </c>
      <c r="CE168" s="404">
        <v>0</v>
      </c>
      <c r="CF168" s="404">
        <v>217432</v>
      </c>
      <c r="CG168" s="404">
        <v>27590</v>
      </c>
      <c r="CH168" s="404">
        <v>705016</v>
      </c>
      <c r="CI168" s="404">
        <v>26436824</v>
      </c>
      <c r="CJ168" s="404">
        <v>955420</v>
      </c>
      <c r="CK168" s="404">
        <v>284804</v>
      </c>
      <c r="CL168" s="404">
        <v>0</v>
      </c>
      <c r="CM168" s="404">
        <v>1528340</v>
      </c>
      <c r="CN168" s="404">
        <v>1431804</v>
      </c>
      <c r="CO168" s="404">
        <v>3006808</v>
      </c>
      <c r="CP168" s="404">
        <v>890440</v>
      </c>
      <c r="CQ168" s="404">
        <v>0</v>
      </c>
      <c r="CR168" s="404">
        <v>0</v>
      </c>
    </row>
    <row r="169" spans="1:96" s="404" customFormat="1" x14ac:dyDescent="0.3">
      <c r="A169" s="404">
        <v>519</v>
      </c>
      <c r="B169" s="405">
        <v>519</v>
      </c>
      <c r="C169" s="404">
        <v>519</v>
      </c>
      <c r="D169" s="404" t="s">
        <v>280</v>
      </c>
      <c r="E169" s="404" t="s">
        <v>485</v>
      </c>
      <c r="F169" s="404">
        <v>0</v>
      </c>
      <c r="G169" s="404">
        <v>0</v>
      </c>
      <c r="H169" s="404">
        <v>0</v>
      </c>
      <c r="I169" s="404">
        <v>1030</v>
      </c>
      <c r="J169" s="404">
        <v>929</v>
      </c>
      <c r="K169" s="404">
        <v>0</v>
      </c>
      <c r="L169" s="404">
        <v>0</v>
      </c>
      <c r="M169" s="404">
        <v>0</v>
      </c>
      <c r="N169" s="404">
        <v>0</v>
      </c>
      <c r="O169" s="404">
        <v>0</v>
      </c>
      <c r="P169" s="404">
        <v>0</v>
      </c>
      <c r="Q169" s="404">
        <v>0</v>
      </c>
      <c r="R169" s="404">
        <v>400</v>
      </c>
      <c r="S169" s="404">
        <v>0</v>
      </c>
      <c r="T169" s="404">
        <v>0</v>
      </c>
      <c r="U169" s="404">
        <v>0</v>
      </c>
      <c r="V169" s="404">
        <v>0</v>
      </c>
      <c r="W169" s="404">
        <v>0</v>
      </c>
      <c r="X169" s="404">
        <v>0</v>
      </c>
      <c r="Y169" s="404">
        <v>0</v>
      </c>
      <c r="Z169" s="404">
        <v>0</v>
      </c>
      <c r="AA169" s="404">
        <v>0</v>
      </c>
      <c r="AB169" s="404">
        <v>0</v>
      </c>
      <c r="AC169" s="404">
        <v>7463</v>
      </c>
      <c r="AD169" s="404">
        <v>0</v>
      </c>
      <c r="AE169" s="404">
        <v>0</v>
      </c>
      <c r="AF169" s="404">
        <v>58000</v>
      </c>
      <c r="AG169" s="404">
        <v>0</v>
      </c>
      <c r="AH169" s="404">
        <v>250</v>
      </c>
      <c r="AI169" s="404">
        <v>0</v>
      </c>
      <c r="AJ169" s="404">
        <v>0</v>
      </c>
      <c r="AK169" s="404">
        <v>146</v>
      </c>
      <c r="AL169" s="404">
        <v>9337</v>
      </c>
      <c r="AM169" s="404">
        <v>62744</v>
      </c>
      <c r="AN169" s="404">
        <v>1574</v>
      </c>
      <c r="AO169" s="404">
        <v>0</v>
      </c>
      <c r="AP169" s="404">
        <v>0</v>
      </c>
      <c r="AQ169" s="404">
        <v>0</v>
      </c>
      <c r="AR169" s="404">
        <v>0</v>
      </c>
      <c r="AS169" s="404">
        <v>0</v>
      </c>
      <c r="AT169" s="404">
        <v>0</v>
      </c>
      <c r="AU169" s="404">
        <v>0</v>
      </c>
      <c r="AV169" s="404">
        <v>0</v>
      </c>
      <c r="AW169" s="404">
        <v>0</v>
      </c>
      <c r="AX169" s="404">
        <v>0</v>
      </c>
      <c r="AY169" s="404">
        <v>0</v>
      </c>
      <c r="AZ169" s="404">
        <v>0</v>
      </c>
      <c r="BA169" s="404">
        <v>0</v>
      </c>
      <c r="BB169" s="404">
        <v>3985</v>
      </c>
      <c r="BC169" s="404">
        <v>0</v>
      </c>
      <c r="BD169" s="404">
        <v>0</v>
      </c>
      <c r="BE169" s="404">
        <v>0</v>
      </c>
      <c r="BF169" s="404">
        <v>0</v>
      </c>
      <c r="BG169" s="404">
        <v>0</v>
      </c>
      <c r="BH169" s="404">
        <v>0</v>
      </c>
      <c r="BI169" s="404">
        <v>198786</v>
      </c>
      <c r="BJ169" s="404">
        <v>0</v>
      </c>
      <c r="BK169" s="404">
        <v>0</v>
      </c>
      <c r="BL169" s="404">
        <v>0</v>
      </c>
      <c r="BM169" s="404">
        <v>205254</v>
      </c>
      <c r="BN169" s="404">
        <v>0</v>
      </c>
      <c r="BO169" s="404">
        <v>0</v>
      </c>
      <c r="BP169" s="404">
        <v>0</v>
      </c>
      <c r="BQ169" s="404">
        <v>3607</v>
      </c>
      <c r="BR169" s="404">
        <v>0</v>
      </c>
      <c r="BS169" s="404">
        <v>0</v>
      </c>
      <c r="BT169" s="404">
        <v>0</v>
      </c>
      <c r="BU169" s="404">
        <v>0</v>
      </c>
      <c r="BV169" s="404">
        <v>0</v>
      </c>
      <c r="BW169" s="404">
        <v>0</v>
      </c>
      <c r="BX169" s="404">
        <v>0</v>
      </c>
      <c r="BY169" s="404">
        <v>0</v>
      </c>
      <c r="BZ169" s="404">
        <v>0</v>
      </c>
      <c r="CA169" s="404">
        <v>0</v>
      </c>
      <c r="CB169" s="404">
        <v>7907</v>
      </c>
      <c r="CC169" s="404">
        <v>0</v>
      </c>
      <c r="CD169" s="404">
        <v>198584</v>
      </c>
      <c r="CE169" s="404">
        <v>0</v>
      </c>
      <c r="CF169" s="404">
        <v>0</v>
      </c>
      <c r="CG169" s="404">
        <v>0</v>
      </c>
      <c r="CH169" s="404">
        <v>31321</v>
      </c>
      <c r="CI169" s="404">
        <v>6699969</v>
      </c>
      <c r="CJ169" s="404">
        <v>0</v>
      </c>
      <c r="CK169" s="404">
        <v>0</v>
      </c>
      <c r="CL169" s="404">
        <v>0</v>
      </c>
      <c r="CM169" s="404">
        <v>0</v>
      </c>
      <c r="CN169" s="404">
        <v>0</v>
      </c>
      <c r="CO169" s="404">
        <v>0</v>
      </c>
      <c r="CP169" s="404">
        <v>12523</v>
      </c>
      <c r="CQ169" s="404">
        <v>0</v>
      </c>
      <c r="CR169" s="404">
        <v>0</v>
      </c>
    </row>
    <row r="170" spans="1:96" s="404" customFormat="1" x14ac:dyDescent="0.3">
      <c r="A170" s="404">
        <v>520</v>
      </c>
      <c r="B170" s="405">
        <v>520</v>
      </c>
      <c r="C170" s="404">
        <v>520</v>
      </c>
      <c r="D170" s="404" t="s">
        <v>281</v>
      </c>
      <c r="E170" s="404" t="s">
        <v>486</v>
      </c>
      <c r="F170" s="404">
        <v>0</v>
      </c>
      <c r="G170" s="404">
        <v>0</v>
      </c>
      <c r="H170" s="404">
        <v>127501</v>
      </c>
      <c r="I170" s="404">
        <v>432665</v>
      </c>
      <c r="J170" s="404">
        <v>290442</v>
      </c>
      <c r="K170" s="404">
        <v>33654</v>
      </c>
      <c r="L170" s="404">
        <v>3541316</v>
      </c>
      <c r="M170" s="404">
        <v>173547</v>
      </c>
      <c r="N170" s="404">
        <v>0</v>
      </c>
      <c r="O170" s="404">
        <v>114437</v>
      </c>
      <c r="P170" s="404">
        <v>206727</v>
      </c>
      <c r="Q170" s="404">
        <v>0</v>
      </c>
      <c r="R170" s="404">
        <v>82554</v>
      </c>
      <c r="S170" s="404">
        <v>0</v>
      </c>
      <c r="T170" s="404">
        <v>0</v>
      </c>
      <c r="U170" s="404">
        <v>0</v>
      </c>
      <c r="V170" s="404">
        <v>977287</v>
      </c>
      <c r="W170" s="404">
        <v>0</v>
      </c>
      <c r="X170" s="404">
        <v>106217</v>
      </c>
      <c r="Y170" s="404">
        <v>0</v>
      </c>
      <c r="Z170" s="404">
        <v>317850</v>
      </c>
      <c r="AA170" s="404">
        <v>0</v>
      </c>
      <c r="AB170" s="404">
        <v>1104819</v>
      </c>
      <c r="AC170" s="404">
        <v>562824</v>
      </c>
      <c r="AD170" s="404">
        <v>39474</v>
      </c>
      <c r="AE170" s="404">
        <v>95040</v>
      </c>
      <c r="AF170" s="404">
        <v>1679963</v>
      </c>
      <c r="AG170" s="404">
        <v>0</v>
      </c>
      <c r="AH170" s="404">
        <v>133558</v>
      </c>
      <c r="AI170" s="404">
        <v>0</v>
      </c>
      <c r="AJ170" s="404">
        <v>122677</v>
      </c>
      <c r="AK170" s="404">
        <v>767489</v>
      </c>
      <c r="AL170" s="404">
        <v>418203</v>
      </c>
      <c r="AM170" s="404">
        <v>121621</v>
      </c>
      <c r="AN170" s="404">
        <v>213312</v>
      </c>
      <c r="AO170" s="404">
        <v>0</v>
      </c>
      <c r="AP170" s="404">
        <v>0</v>
      </c>
      <c r="AQ170" s="404">
        <v>858852</v>
      </c>
      <c r="AR170" s="404">
        <v>0</v>
      </c>
      <c r="AS170" s="404">
        <v>0</v>
      </c>
      <c r="AT170" s="404">
        <v>0</v>
      </c>
      <c r="AU170" s="404">
        <v>0</v>
      </c>
      <c r="AV170" s="404">
        <v>0</v>
      </c>
      <c r="AW170" s="404">
        <v>26485</v>
      </c>
      <c r="AX170" s="404">
        <v>273733</v>
      </c>
      <c r="AY170" s="404">
        <v>0</v>
      </c>
      <c r="AZ170" s="404">
        <v>0</v>
      </c>
      <c r="BA170" s="404">
        <v>0</v>
      </c>
      <c r="BB170" s="404">
        <v>782738</v>
      </c>
      <c r="BC170" s="404">
        <v>0</v>
      </c>
      <c r="BD170" s="404">
        <v>109431</v>
      </c>
      <c r="BE170" s="404">
        <v>116535</v>
      </c>
      <c r="BF170" s="404">
        <v>55968</v>
      </c>
      <c r="BG170" s="404">
        <v>232376</v>
      </c>
      <c r="BH170" s="404">
        <v>611675</v>
      </c>
      <c r="BI170" s="404">
        <v>1139979</v>
      </c>
      <c r="BJ170" s="404">
        <v>0</v>
      </c>
      <c r="BK170" s="404">
        <v>0</v>
      </c>
      <c r="BL170" s="404">
        <v>0</v>
      </c>
      <c r="BM170" s="404">
        <v>713126</v>
      </c>
      <c r="BN170" s="404">
        <v>305861</v>
      </c>
      <c r="BO170" s="404">
        <v>0</v>
      </c>
      <c r="BP170" s="404">
        <v>0</v>
      </c>
      <c r="BQ170" s="404">
        <v>240969</v>
      </c>
      <c r="BR170" s="404">
        <v>0</v>
      </c>
      <c r="BS170" s="404">
        <v>0</v>
      </c>
      <c r="BT170" s="404">
        <v>0</v>
      </c>
      <c r="BU170" s="404">
        <v>273618</v>
      </c>
      <c r="BV170" s="404">
        <v>0</v>
      </c>
      <c r="BW170" s="404">
        <v>0</v>
      </c>
      <c r="BX170" s="404">
        <v>131324</v>
      </c>
      <c r="BY170" s="404">
        <v>405514</v>
      </c>
      <c r="BZ170" s="404">
        <v>17217</v>
      </c>
      <c r="CA170" s="404">
        <v>0</v>
      </c>
      <c r="CB170" s="404">
        <v>855743</v>
      </c>
      <c r="CC170" s="404">
        <v>0</v>
      </c>
      <c r="CD170" s="404">
        <v>2664962</v>
      </c>
      <c r="CE170" s="404">
        <v>152060</v>
      </c>
      <c r="CF170" s="404">
        <v>227492</v>
      </c>
      <c r="CG170" s="404">
        <v>154072</v>
      </c>
      <c r="CH170" s="404">
        <v>204446</v>
      </c>
      <c r="CI170" s="404">
        <v>21381670</v>
      </c>
      <c r="CJ170" s="404">
        <v>440321</v>
      </c>
      <c r="CK170" s="404">
        <v>121802</v>
      </c>
      <c r="CL170" s="404">
        <v>0</v>
      </c>
      <c r="CM170" s="404">
        <v>54746</v>
      </c>
      <c r="CN170" s="404">
        <v>176136</v>
      </c>
      <c r="CO170" s="404">
        <v>540484</v>
      </c>
      <c r="CP170" s="404">
        <v>265362</v>
      </c>
      <c r="CQ170" s="404">
        <v>0</v>
      </c>
      <c r="CR170" s="404">
        <v>0</v>
      </c>
    </row>
    <row r="171" spans="1:96" s="404" customFormat="1" x14ac:dyDescent="0.3">
      <c r="A171" s="404">
        <v>521</v>
      </c>
      <c r="B171" s="405">
        <v>521</v>
      </c>
      <c r="C171" s="404">
        <v>521</v>
      </c>
      <c r="D171" s="404" t="s">
        <v>282</v>
      </c>
      <c r="E171" s="404" t="s">
        <v>487</v>
      </c>
      <c r="F171" s="404">
        <v>0</v>
      </c>
      <c r="G171" s="404">
        <v>0</v>
      </c>
      <c r="H171" s="404">
        <v>0</v>
      </c>
      <c r="I171" s="404">
        <v>0</v>
      </c>
      <c r="J171" s="404">
        <v>0</v>
      </c>
      <c r="K171" s="404">
        <v>0</v>
      </c>
      <c r="L171" s="404">
        <v>0</v>
      </c>
      <c r="M171" s="404">
        <v>0</v>
      </c>
      <c r="N171" s="404">
        <v>0</v>
      </c>
      <c r="O171" s="404">
        <v>0</v>
      </c>
      <c r="P171" s="404">
        <v>0</v>
      </c>
      <c r="Q171" s="404">
        <v>0</v>
      </c>
      <c r="R171" s="404">
        <v>126</v>
      </c>
      <c r="S171" s="404">
        <v>0</v>
      </c>
      <c r="T171" s="404">
        <v>0</v>
      </c>
      <c r="U171" s="404">
        <v>0</v>
      </c>
      <c r="V171" s="404">
        <v>0</v>
      </c>
      <c r="W171" s="404">
        <v>0</v>
      </c>
      <c r="X171" s="404">
        <v>0</v>
      </c>
      <c r="Y171" s="404">
        <v>0</v>
      </c>
      <c r="Z171" s="404">
        <v>0</v>
      </c>
      <c r="AA171" s="404">
        <v>0</v>
      </c>
      <c r="AB171" s="404">
        <v>0</v>
      </c>
      <c r="AC171" s="404">
        <v>0</v>
      </c>
      <c r="AD171" s="404">
        <v>0</v>
      </c>
      <c r="AE171" s="404">
        <v>0</v>
      </c>
      <c r="AF171" s="404">
        <v>1538438</v>
      </c>
      <c r="AG171" s="404">
        <v>0</v>
      </c>
      <c r="AH171" s="404">
        <v>0</v>
      </c>
      <c r="AI171" s="404">
        <v>0</v>
      </c>
      <c r="AJ171" s="404">
        <v>0</v>
      </c>
      <c r="AK171" s="404">
        <v>0</v>
      </c>
      <c r="AL171" s="404">
        <v>0</v>
      </c>
      <c r="AM171" s="404">
        <v>0</v>
      </c>
      <c r="AN171" s="404">
        <v>0</v>
      </c>
      <c r="AO171" s="404">
        <v>0</v>
      </c>
      <c r="AP171" s="404">
        <v>0</v>
      </c>
      <c r="AQ171" s="404">
        <v>0</v>
      </c>
      <c r="AR171" s="404">
        <v>0</v>
      </c>
      <c r="AS171" s="404">
        <v>0</v>
      </c>
      <c r="AT171" s="404">
        <v>0</v>
      </c>
      <c r="AU171" s="404">
        <v>0</v>
      </c>
      <c r="AV171" s="404">
        <v>0</v>
      </c>
      <c r="AW171" s="404">
        <v>0</v>
      </c>
      <c r="AX171" s="404">
        <v>0</v>
      </c>
      <c r="AY171" s="404">
        <v>93347</v>
      </c>
      <c r="AZ171" s="404">
        <v>0</v>
      </c>
      <c r="BA171" s="404">
        <v>0</v>
      </c>
      <c r="BB171" s="404">
        <v>0</v>
      </c>
      <c r="BC171" s="404">
        <v>0</v>
      </c>
      <c r="BD171" s="404">
        <v>0</v>
      </c>
      <c r="BE171" s="404">
        <v>0</v>
      </c>
      <c r="BF171" s="404">
        <v>0</v>
      </c>
      <c r="BG171" s="404">
        <v>0</v>
      </c>
      <c r="BH171" s="404">
        <v>0</v>
      </c>
      <c r="BI171" s="404">
        <v>0</v>
      </c>
      <c r="BJ171" s="404">
        <v>0</v>
      </c>
      <c r="BK171" s="404">
        <v>0</v>
      </c>
      <c r="BL171" s="404">
        <v>0</v>
      </c>
      <c r="BM171" s="404">
        <v>0</v>
      </c>
      <c r="BN171" s="404">
        <v>0</v>
      </c>
      <c r="BO171" s="404">
        <v>0</v>
      </c>
      <c r="BP171" s="404">
        <v>0</v>
      </c>
      <c r="BQ171" s="404">
        <v>0</v>
      </c>
      <c r="BR171" s="404">
        <v>0</v>
      </c>
      <c r="BS171" s="404">
        <v>0</v>
      </c>
      <c r="BT171" s="404">
        <v>0</v>
      </c>
      <c r="BU171" s="404">
        <v>0</v>
      </c>
      <c r="BV171" s="404">
        <v>0</v>
      </c>
      <c r="BW171" s="404">
        <v>0</v>
      </c>
      <c r="BX171" s="404">
        <v>0</v>
      </c>
      <c r="BY171" s="404">
        <v>0</v>
      </c>
      <c r="BZ171" s="404">
        <v>0</v>
      </c>
      <c r="CA171" s="404">
        <v>0</v>
      </c>
      <c r="CB171" s="404">
        <v>0</v>
      </c>
      <c r="CC171" s="404">
        <v>0</v>
      </c>
      <c r="CD171" s="404">
        <v>849815</v>
      </c>
      <c r="CE171" s="404">
        <v>0</v>
      </c>
      <c r="CF171" s="404">
        <v>0</v>
      </c>
      <c r="CG171" s="404">
        <v>0</v>
      </c>
      <c r="CH171" s="404">
        <v>5735</v>
      </c>
      <c r="CI171" s="404">
        <v>0</v>
      </c>
      <c r="CJ171" s="404">
        <v>0</v>
      </c>
      <c r="CK171" s="404">
        <v>0</v>
      </c>
      <c r="CL171" s="404">
        <v>0</v>
      </c>
      <c r="CM171" s="404">
        <v>0</v>
      </c>
      <c r="CN171" s="404">
        <v>0</v>
      </c>
      <c r="CO171" s="404">
        <v>0</v>
      </c>
      <c r="CP171" s="404">
        <v>0</v>
      </c>
      <c r="CQ171" s="404">
        <v>0</v>
      </c>
      <c r="CR171" s="404">
        <v>0</v>
      </c>
    </row>
    <row r="172" spans="1:96" s="404" customFormat="1" x14ac:dyDescent="0.3">
      <c r="A172" s="404">
        <v>522</v>
      </c>
      <c r="B172" s="405">
        <v>522</v>
      </c>
      <c r="C172" s="404">
        <v>522</v>
      </c>
      <c r="D172" s="404" t="s">
        <v>283</v>
      </c>
      <c r="E172" s="404" t="s">
        <v>488</v>
      </c>
      <c r="F172" s="404">
        <v>0</v>
      </c>
      <c r="G172" s="404">
        <v>0</v>
      </c>
      <c r="H172" s="404">
        <v>0</v>
      </c>
      <c r="I172" s="404">
        <v>30225</v>
      </c>
      <c r="J172" s="404">
        <v>32799</v>
      </c>
      <c r="K172" s="404">
        <v>9122</v>
      </c>
      <c r="L172" s="404">
        <v>282481</v>
      </c>
      <c r="M172" s="404">
        <v>4720</v>
      </c>
      <c r="N172" s="404">
        <v>0</v>
      </c>
      <c r="O172" s="404">
        <v>1800</v>
      </c>
      <c r="P172" s="404">
        <v>16940</v>
      </c>
      <c r="Q172" s="404">
        <v>0</v>
      </c>
      <c r="R172" s="404">
        <v>3681</v>
      </c>
      <c r="S172" s="404">
        <v>0</v>
      </c>
      <c r="T172" s="404">
        <v>0</v>
      </c>
      <c r="U172" s="404">
        <v>0</v>
      </c>
      <c r="V172" s="404">
        <v>63402</v>
      </c>
      <c r="W172" s="404">
        <v>0</v>
      </c>
      <c r="X172" s="404">
        <v>2925</v>
      </c>
      <c r="Y172" s="404">
        <v>0</v>
      </c>
      <c r="Z172" s="404">
        <v>11694</v>
      </c>
      <c r="AA172" s="404">
        <v>0</v>
      </c>
      <c r="AB172" s="404">
        <v>56349</v>
      </c>
      <c r="AC172" s="404">
        <v>49308</v>
      </c>
      <c r="AD172" s="404">
        <v>0</v>
      </c>
      <c r="AE172" s="404">
        <v>0</v>
      </c>
      <c r="AF172" s="404">
        <v>282388</v>
      </c>
      <c r="AG172" s="404">
        <v>0</v>
      </c>
      <c r="AH172" s="404">
        <v>11693</v>
      </c>
      <c r="AI172" s="404">
        <v>0</v>
      </c>
      <c r="AJ172" s="404">
        <v>1064</v>
      </c>
      <c r="AK172" s="404">
        <v>26153</v>
      </c>
      <c r="AL172" s="404">
        <v>68617</v>
      </c>
      <c r="AM172" s="404">
        <v>73873</v>
      </c>
      <c r="AN172" s="404">
        <v>38246</v>
      </c>
      <c r="AO172" s="404">
        <v>12946</v>
      </c>
      <c r="AP172" s="404">
        <v>0</v>
      </c>
      <c r="AQ172" s="404">
        <v>101578</v>
      </c>
      <c r="AR172" s="404">
        <v>0</v>
      </c>
      <c r="AS172" s="404">
        <v>0</v>
      </c>
      <c r="AT172" s="404">
        <v>0</v>
      </c>
      <c r="AU172" s="404">
        <v>0</v>
      </c>
      <c r="AV172" s="404">
        <v>0</v>
      </c>
      <c r="AW172" s="404">
        <v>308</v>
      </c>
      <c r="AX172" s="404">
        <v>81179</v>
      </c>
      <c r="AY172" s="404">
        <v>6061</v>
      </c>
      <c r="AZ172" s="404">
        <v>0</v>
      </c>
      <c r="BA172" s="404">
        <v>0</v>
      </c>
      <c r="BB172" s="404">
        <v>109760</v>
      </c>
      <c r="BC172" s="404">
        <v>0</v>
      </c>
      <c r="BD172" s="404">
        <v>18354</v>
      </c>
      <c r="BE172" s="404">
        <v>0</v>
      </c>
      <c r="BF172" s="404">
        <v>8694</v>
      </c>
      <c r="BG172" s="404">
        <v>123351</v>
      </c>
      <c r="BH172" s="404">
        <v>26153</v>
      </c>
      <c r="BI172" s="404">
        <v>345740</v>
      </c>
      <c r="BJ172" s="404">
        <v>0</v>
      </c>
      <c r="BK172" s="404">
        <v>0</v>
      </c>
      <c r="BL172" s="404">
        <v>0</v>
      </c>
      <c r="BM172" s="404">
        <v>171531</v>
      </c>
      <c r="BN172" s="404">
        <v>88467</v>
      </c>
      <c r="BO172" s="404">
        <v>0</v>
      </c>
      <c r="BP172" s="404">
        <v>0</v>
      </c>
      <c r="BQ172" s="404">
        <v>36266</v>
      </c>
      <c r="BR172" s="404">
        <v>0</v>
      </c>
      <c r="BS172" s="404">
        <v>0</v>
      </c>
      <c r="BT172" s="404">
        <v>0</v>
      </c>
      <c r="BU172" s="404">
        <v>27588</v>
      </c>
      <c r="BV172" s="404">
        <v>0</v>
      </c>
      <c r="BW172" s="404">
        <v>0</v>
      </c>
      <c r="BX172" s="404">
        <v>27525</v>
      </c>
      <c r="BY172" s="404">
        <v>84785</v>
      </c>
      <c r="BZ172" s="404">
        <v>0</v>
      </c>
      <c r="CA172" s="404">
        <v>0</v>
      </c>
      <c r="CB172" s="404">
        <v>53259</v>
      </c>
      <c r="CC172" s="404">
        <v>0</v>
      </c>
      <c r="CD172" s="404">
        <v>742420</v>
      </c>
      <c r="CE172" s="404">
        <v>0</v>
      </c>
      <c r="CF172" s="404">
        <v>6506</v>
      </c>
      <c r="CG172" s="404">
        <v>0</v>
      </c>
      <c r="CH172" s="404">
        <v>22041</v>
      </c>
      <c r="CI172" s="404">
        <v>1489690</v>
      </c>
      <c r="CJ172" s="404">
        <v>61554</v>
      </c>
      <c r="CK172" s="404">
        <v>5849</v>
      </c>
      <c r="CL172" s="404">
        <v>0</v>
      </c>
      <c r="CM172" s="404">
        <v>37548</v>
      </c>
      <c r="CN172" s="404">
        <v>71954</v>
      </c>
      <c r="CO172" s="404">
        <v>95073</v>
      </c>
      <c r="CP172" s="404">
        <v>28735</v>
      </c>
      <c r="CQ172" s="404">
        <v>0</v>
      </c>
      <c r="CR172" s="404">
        <v>0</v>
      </c>
    </row>
    <row r="173" spans="1:96" s="404" customFormat="1" x14ac:dyDescent="0.3">
      <c r="A173" s="404">
        <v>523</v>
      </c>
      <c r="B173" s="405">
        <v>523</v>
      </c>
      <c r="C173" s="404">
        <v>523</v>
      </c>
      <c r="D173" s="404" t="s">
        <v>284</v>
      </c>
      <c r="E173" s="404" t="s">
        <v>489</v>
      </c>
      <c r="F173" s="404">
        <v>0</v>
      </c>
      <c r="G173" s="404">
        <v>0</v>
      </c>
      <c r="H173" s="404">
        <v>0</v>
      </c>
      <c r="I173" s="404">
        <v>29123</v>
      </c>
      <c r="J173" s="404">
        <v>9313</v>
      </c>
      <c r="K173" s="404">
        <v>0</v>
      </c>
      <c r="L173" s="404">
        <v>0</v>
      </c>
      <c r="M173" s="404">
        <v>0</v>
      </c>
      <c r="N173" s="404">
        <v>0</v>
      </c>
      <c r="O173" s="404">
        <v>0</v>
      </c>
      <c r="P173" s="404">
        <v>0</v>
      </c>
      <c r="Q173" s="404">
        <v>0</v>
      </c>
      <c r="R173" s="404">
        <v>6664</v>
      </c>
      <c r="S173" s="404">
        <v>0</v>
      </c>
      <c r="T173" s="404">
        <v>0</v>
      </c>
      <c r="U173" s="404">
        <v>0</v>
      </c>
      <c r="V173" s="404">
        <v>0</v>
      </c>
      <c r="W173" s="404">
        <v>0</v>
      </c>
      <c r="X173" s="404">
        <v>0</v>
      </c>
      <c r="Y173" s="404">
        <v>0</v>
      </c>
      <c r="Z173" s="404">
        <v>0</v>
      </c>
      <c r="AA173" s="404">
        <v>0</v>
      </c>
      <c r="AB173" s="404">
        <v>0</v>
      </c>
      <c r="AC173" s="404">
        <v>77393</v>
      </c>
      <c r="AD173" s="404">
        <v>0</v>
      </c>
      <c r="AE173" s="404">
        <v>0</v>
      </c>
      <c r="AF173" s="404">
        <v>7321657</v>
      </c>
      <c r="AG173" s="404">
        <v>0</v>
      </c>
      <c r="AH173" s="404">
        <v>4933</v>
      </c>
      <c r="AI173" s="404">
        <v>0</v>
      </c>
      <c r="AJ173" s="404">
        <v>0</v>
      </c>
      <c r="AK173" s="404">
        <v>583</v>
      </c>
      <c r="AL173" s="404">
        <v>109536</v>
      </c>
      <c r="AM173" s="404">
        <v>2137426</v>
      </c>
      <c r="AN173" s="404">
        <v>87604</v>
      </c>
      <c r="AO173" s="404">
        <v>0</v>
      </c>
      <c r="AP173" s="404">
        <v>0</v>
      </c>
      <c r="AQ173" s="404">
        <v>0</v>
      </c>
      <c r="AR173" s="404">
        <v>0</v>
      </c>
      <c r="AS173" s="404">
        <v>0</v>
      </c>
      <c r="AT173" s="404">
        <v>0</v>
      </c>
      <c r="AU173" s="404">
        <v>0</v>
      </c>
      <c r="AV173" s="404">
        <v>0</v>
      </c>
      <c r="AW173" s="404">
        <v>0</v>
      </c>
      <c r="AX173" s="404">
        <v>0</v>
      </c>
      <c r="AY173" s="404">
        <v>0</v>
      </c>
      <c r="AZ173" s="404">
        <v>0</v>
      </c>
      <c r="BA173" s="404">
        <v>0</v>
      </c>
      <c r="BB173" s="404">
        <v>75878</v>
      </c>
      <c r="BC173" s="404">
        <v>0</v>
      </c>
      <c r="BD173" s="404">
        <v>0</v>
      </c>
      <c r="BE173" s="404">
        <v>0</v>
      </c>
      <c r="BF173" s="404">
        <v>0</v>
      </c>
      <c r="BG173" s="404">
        <v>0</v>
      </c>
      <c r="BH173" s="404">
        <v>0</v>
      </c>
      <c r="BI173" s="404">
        <v>6738599</v>
      </c>
      <c r="BJ173" s="404">
        <v>0</v>
      </c>
      <c r="BK173" s="404">
        <v>0</v>
      </c>
      <c r="BL173" s="404">
        <v>0</v>
      </c>
      <c r="BM173" s="404">
        <v>8706397</v>
      </c>
      <c r="BN173" s="404">
        <v>0</v>
      </c>
      <c r="BO173" s="404">
        <v>0</v>
      </c>
      <c r="BP173" s="404">
        <v>0</v>
      </c>
      <c r="BQ173" s="404">
        <v>101673</v>
      </c>
      <c r="BR173" s="404">
        <v>0</v>
      </c>
      <c r="BS173" s="404">
        <v>0</v>
      </c>
      <c r="BT173" s="404">
        <v>0</v>
      </c>
      <c r="BU173" s="404">
        <v>0</v>
      </c>
      <c r="BV173" s="404">
        <v>0</v>
      </c>
      <c r="BW173" s="404">
        <v>0</v>
      </c>
      <c r="BX173" s="404">
        <v>0</v>
      </c>
      <c r="BY173" s="404">
        <v>0</v>
      </c>
      <c r="BZ173" s="404">
        <v>0</v>
      </c>
      <c r="CA173" s="404">
        <v>0</v>
      </c>
      <c r="CB173" s="404">
        <v>160745</v>
      </c>
      <c r="CC173" s="404">
        <v>0</v>
      </c>
      <c r="CD173" s="404">
        <v>5013549</v>
      </c>
      <c r="CE173" s="404">
        <v>0</v>
      </c>
      <c r="CF173" s="404">
        <v>0</v>
      </c>
      <c r="CG173" s="404">
        <v>0</v>
      </c>
      <c r="CH173" s="404">
        <v>120887</v>
      </c>
      <c r="CI173" s="404">
        <v>118889219</v>
      </c>
      <c r="CJ173" s="404">
        <v>0</v>
      </c>
      <c r="CK173" s="404">
        <v>21286</v>
      </c>
      <c r="CL173" s="404">
        <v>0</v>
      </c>
      <c r="CM173" s="404">
        <v>0</v>
      </c>
      <c r="CN173" s="404">
        <v>0</v>
      </c>
      <c r="CO173" s="404">
        <v>0</v>
      </c>
      <c r="CP173" s="404">
        <v>268235</v>
      </c>
      <c r="CQ173" s="404">
        <v>0</v>
      </c>
      <c r="CR173" s="404">
        <v>0</v>
      </c>
    </row>
    <row r="174" spans="1:96" s="404" customFormat="1" x14ac:dyDescent="0.3">
      <c r="A174" s="404">
        <v>524</v>
      </c>
      <c r="B174" s="405">
        <v>524</v>
      </c>
      <c r="C174" s="404">
        <v>524</v>
      </c>
      <c r="D174" s="404" t="s">
        <v>285</v>
      </c>
      <c r="E174" s="404" t="s">
        <v>490</v>
      </c>
      <c r="F174" s="404">
        <v>0</v>
      </c>
      <c r="G174" s="404">
        <v>0</v>
      </c>
      <c r="H174" s="404">
        <v>2237973</v>
      </c>
      <c r="I174" s="404">
        <v>7452901</v>
      </c>
      <c r="J174" s="404">
        <v>4433191</v>
      </c>
      <c r="K174" s="404">
        <v>3751922</v>
      </c>
      <c r="L174" s="404">
        <v>60680106</v>
      </c>
      <c r="M174" s="404">
        <v>3652729</v>
      </c>
      <c r="N174" s="404">
        <v>0</v>
      </c>
      <c r="O174" s="404">
        <v>1673872</v>
      </c>
      <c r="P174" s="404">
        <v>3106852</v>
      </c>
      <c r="Q174" s="404">
        <v>0</v>
      </c>
      <c r="R174" s="404">
        <v>1680584</v>
      </c>
      <c r="S174" s="404">
        <v>0</v>
      </c>
      <c r="T174" s="404">
        <v>0</v>
      </c>
      <c r="U174" s="404">
        <v>0</v>
      </c>
      <c r="V174" s="404">
        <v>16353008</v>
      </c>
      <c r="W174" s="404">
        <v>0</v>
      </c>
      <c r="X174" s="404">
        <v>1600752</v>
      </c>
      <c r="Y174" s="404">
        <v>0</v>
      </c>
      <c r="Z174" s="404">
        <v>5410569</v>
      </c>
      <c r="AA174" s="404">
        <v>0</v>
      </c>
      <c r="AB174" s="404">
        <v>28441022</v>
      </c>
      <c r="AC174" s="404">
        <v>8227517</v>
      </c>
      <c r="AD174" s="404">
        <v>992045</v>
      </c>
      <c r="AE174" s="404">
        <v>1665029</v>
      </c>
      <c r="AF174" s="404">
        <v>21228101</v>
      </c>
      <c r="AG174" s="404">
        <v>0</v>
      </c>
      <c r="AH174" s="404">
        <v>1772809</v>
      </c>
      <c r="AI174" s="404">
        <v>0</v>
      </c>
      <c r="AJ174" s="404">
        <v>214227</v>
      </c>
      <c r="AK174" s="404">
        <v>6729260</v>
      </c>
      <c r="AL174" s="404">
        <v>7190304</v>
      </c>
      <c r="AM174" s="404">
        <v>7844486</v>
      </c>
      <c r="AN174" s="404">
        <v>8450117</v>
      </c>
      <c r="AO174" s="404">
        <v>0</v>
      </c>
      <c r="AP174" s="404">
        <v>0</v>
      </c>
      <c r="AQ174" s="404">
        <v>23805739</v>
      </c>
      <c r="AR174" s="404">
        <v>0</v>
      </c>
      <c r="AS174" s="404">
        <v>0</v>
      </c>
      <c r="AT174" s="404">
        <v>0</v>
      </c>
      <c r="AU174" s="404">
        <v>0</v>
      </c>
      <c r="AV174" s="404">
        <v>0</v>
      </c>
      <c r="AW174" s="404">
        <v>711556</v>
      </c>
      <c r="AX174" s="404">
        <v>10640404</v>
      </c>
      <c r="AY174" s="404">
        <v>0</v>
      </c>
      <c r="AZ174" s="404">
        <v>0</v>
      </c>
      <c r="BA174" s="404">
        <v>0</v>
      </c>
      <c r="BB174" s="404">
        <v>15205557</v>
      </c>
      <c r="BC174" s="404">
        <v>0</v>
      </c>
      <c r="BD174" s="404">
        <v>3293576</v>
      </c>
      <c r="BE174" s="404">
        <v>1405324</v>
      </c>
      <c r="BF174" s="404">
        <v>1059897</v>
      </c>
      <c r="BG174" s="404">
        <v>3692759</v>
      </c>
      <c r="BH174" s="404">
        <v>8693801</v>
      </c>
      <c r="BI174" s="404">
        <v>32429616</v>
      </c>
      <c r="BJ174" s="404">
        <v>0</v>
      </c>
      <c r="BK174" s="404">
        <v>0</v>
      </c>
      <c r="BL174" s="404">
        <v>0</v>
      </c>
      <c r="BM174" s="404">
        <v>19911025</v>
      </c>
      <c r="BN174" s="404">
        <v>6637196</v>
      </c>
      <c r="BO174" s="404">
        <v>0</v>
      </c>
      <c r="BP174" s="404">
        <v>0</v>
      </c>
      <c r="BQ174" s="404">
        <v>6648147</v>
      </c>
      <c r="BR174" s="404">
        <v>0</v>
      </c>
      <c r="BS174" s="404">
        <v>0</v>
      </c>
      <c r="BT174" s="404">
        <v>0</v>
      </c>
      <c r="BU174" s="404">
        <v>6227297</v>
      </c>
      <c r="BV174" s="404">
        <v>0</v>
      </c>
      <c r="BW174" s="404">
        <v>0</v>
      </c>
      <c r="BX174" s="404">
        <v>3275495</v>
      </c>
      <c r="BY174" s="404">
        <v>10350599</v>
      </c>
      <c r="BZ174" s="404">
        <v>134867</v>
      </c>
      <c r="CA174" s="404">
        <v>0</v>
      </c>
      <c r="CB174" s="404">
        <v>16006852</v>
      </c>
      <c r="CC174" s="404">
        <v>0</v>
      </c>
      <c r="CD174" s="404">
        <v>67352281</v>
      </c>
      <c r="CE174" s="404">
        <v>242201</v>
      </c>
      <c r="CF174" s="404">
        <v>5767224</v>
      </c>
      <c r="CG174" s="404">
        <v>2944249</v>
      </c>
      <c r="CH174" s="404">
        <v>2810551</v>
      </c>
      <c r="CI174" s="404">
        <v>400445948</v>
      </c>
      <c r="CJ174" s="404">
        <v>5128296</v>
      </c>
      <c r="CK174" s="404">
        <v>4169063</v>
      </c>
      <c r="CL174" s="404">
        <v>0</v>
      </c>
      <c r="CM174" s="404">
        <v>1766116</v>
      </c>
      <c r="CN174" s="404">
        <v>6272286</v>
      </c>
      <c r="CO174" s="404">
        <v>12921027</v>
      </c>
      <c r="CP174" s="404">
        <v>5909649</v>
      </c>
      <c r="CQ174" s="404">
        <v>0</v>
      </c>
      <c r="CR174" s="404">
        <v>0</v>
      </c>
    </row>
    <row r="175" spans="1:96" s="404" customFormat="1" x14ac:dyDescent="0.3">
      <c r="A175" s="404">
        <v>525</v>
      </c>
      <c r="B175" s="405">
        <v>525</v>
      </c>
      <c r="C175" s="404">
        <v>525</v>
      </c>
      <c r="D175" s="404" t="s">
        <v>286</v>
      </c>
      <c r="E175" s="404" t="s">
        <v>491</v>
      </c>
      <c r="F175" s="404">
        <v>0</v>
      </c>
      <c r="G175" s="404">
        <v>0</v>
      </c>
      <c r="H175" s="404">
        <v>0</v>
      </c>
      <c r="I175" s="404">
        <v>0</v>
      </c>
      <c r="J175" s="404">
        <v>0</v>
      </c>
      <c r="K175" s="404">
        <v>0</v>
      </c>
      <c r="L175" s="404">
        <v>0</v>
      </c>
      <c r="M175" s="404">
        <v>0</v>
      </c>
      <c r="N175" s="404">
        <v>0</v>
      </c>
      <c r="O175" s="404">
        <v>0</v>
      </c>
      <c r="P175" s="404">
        <v>0</v>
      </c>
      <c r="Q175" s="404">
        <v>0</v>
      </c>
      <c r="R175" s="404">
        <v>2189</v>
      </c>
      <c r="S175" s="404">
        <v>0</v>
      </c>
      <c r="T175" s="404">
        <v>0</v>
      </c>
      <c r="U175" s="404">
        <v>0</v>
      </c>
      <c r="V175" s="404">
        <v>0</v>
      </c>
      <c r="W175" s="404">
        <v>0</v>
      </c>
      <c r="X175" s="404">
        <v>0</v>
      </c>
      <c r="Y175" s="404">
        <v>0</v>
      </c>
      <c r="Z175" s="404">
        <v>0</v>
      </c>
      <c r="AA175" s="404">
        <v>0</v>
      </c>
      <c r="AB175" s="404">
        <v>0</v>
      </c>
      <c r="AC175" s="404">
        <v>0</v>
      </c>
      <c r="AD175" s="404">
        <v>0</v>
      </c>
      <c r="AE175" s="404">
        <v>0</v>
      </c>
      <c r="AF175" s="404">
        <v>41231956</v>
      </c>
      <c r="AG175" s="404">
        <v>0</v>
      </c>
      <c r="AH175" s="404">
        <v>0</v>
      </c>
      <c r="AI175" s="404">
        <v>0</v>
      </c>
      <c r="AJ175" s="404">
        <v>0</v>
      </c>
      <c r="AK175" s="404">
        <v>0</v>
      </c>
      <c r="AL175" s="404">
        <v>0</v>
      </c>
      <c r="AM175" s="404">
        <v>0</v>
      </c>
      <c r="AN175" s="404">
        <v>0</v>
      </c>
      <c r="AO175" s="404">
        <v>0</v>
      </c>
      <c r="AP175" s="404">
        <v>0</v>
      </c>
      <c r="AQ175" s="404">
        <v>0</v>
      </c>
      <c r="AR175" s="404">
        <v>0</v>
      </c>
      <c r="AS175" s="404">
        <v>0</v>
      </c>
      <c r="AT175" s="404">
        <v>0</v>
      </c>
      <c r="AU175" s="404">
        <v>0</v>
      </c>
      <c r="AV175" s="404">
        <v>0</v>
      </c>
      <c r="AW175" s="404">
        <v>0</v>
      </c>
      <c r="AX175" s="404">
        <v>0</v>
      </c>
      <c r="AY175" s="404">
        <v>1702839</v>
      </c>
      <c r="AZ175" s="404">
        <v>0</v>
      </c>
      <c r="BA175" s="404">
        <v>0</v>
      </c>
      <c r="BB175" s="404">
        <v>0</v>
      </c>
      <c r="BC175" s="404">
        <v>0</v>
      </c>
      <c r="BD175" s="404">
        <v>0</v>
      </c>
      <c r="BE175" s="404">
        <v>0</v>
      </c>
      <c r="BF175" s="404">
        <v>0</v>
      </c>
      <c r="BG175" s="404">
        <v>0</v>
      </c>
      <c r="BH175" s="404">
        <v>0</v>
      </c>
      <c r="BI175" s="404">
        <v>0</v>
      </c>
      <c r="BJ175" s="404">
        <v>0</v>
      </c>
      <c r="BK175" s="404">
        <v>0</v>
      </c>
      <c r="BL175" s="404">
        <v>0</v>
      </c>
      <c r="BM175" s="404">
        <v>0</v>
      </c>
      <c r="BN175" s="404">
        <v>0</v>
      </c>
      <c r="BO175" s="404">
        <v>0</v>
      </c>
      <c r="BP175" s="404">
        <v>0</v>
      </c>
      <c r="BQ175" s="404">
        <v>0</v>
      </c>
      <c r="BR175" s="404">
        <v>0</v>
      </c>
      <c r="BS175" s="404">
        <v>0</v>
      </c>
      <c r="BT175" s="404">
        <v>0</v>
      </c>
      <c r="BU175" s="404">
        <v>0</v>
      </c>
      <c r="BV175" s="404">
        <v>0</v>
      </c>
      <c r="BW175" s="404">
        <v>0</v>
      </c>
      <c r="BX175" s="404">
        <v>0</v>
      </c>
      <c r="BY175" s="404">
        <v>0</v>
      </c>
      <c r="BZ175" s="404">
        <v>0</v>
      </c>
      <c r="CA175" s="404">
        <v>0</v>
      </c>
      <c r="CB175" s="404">
        <v>0</v>
      </c>
      <c r="CC175" s="404">
        <v>0</v>
      </c>
      <c r="CD175" s="404">
        <v>17835294</v>
      </c>
      <c r="CE175" s="404">
        <v>0</v>
      </c>
      <c r="CF175" s="404">
        <v>0</v>
      </c>
      <c r="CG175" s="404">
        <v>0</v>
      </c>
      <c r="CH175" s="404">
        <v>6805</v>
      </c>
      <c r="CI175" s="404">
        <v>0</v>
      </c>
      <c r="CJ175" s="404">
        <v>0</v>
      </c>
      <c r="CK175" s="404">
        <v>0</v>
      </c>
      <c r="CL175" s="404">
        <v>0</v>
      </c>
      <c r="CM175" s="404">
        <v>0</v>
      </c>
      <c r="CN175" s="404">
        <v>0</v>
      </c>
      <c r="CO175" s="404">
        <v>0</v>
      </c>
      <c r="CP175" s="404">
        <v>0</v>
      </c>
      <c r="CQ175" s="404">
        <v>0</v>
      </c>
      <c r="CR175" s="404">
        <v>0</v>
      </c>
    </row>
    <row r="176" spans="1:96" s="404" customFormat="1" x14ac:dyDescent="0.3">
      <c r="A176" s="404">
        <v>526</v>
      </c>
      <c r="B176" s="405">
        <v>526</v>
      </c>
      <c r="C176" s="404">
        <v>526</v>
      </c>
      <c r="D176" s="404" t="s">
        <v>287</v>
      </c>
      <c r="E176" s="404" t="s">
        <v>492</v>
      </c>
      <c r="F176" s="404">
        <v>0</v>
      </c>
      <c r="G176" s="404">
        <v>0</v>
      </c>
      <c r="H176" s="404">
        <v>0</v>
      </c>
      <c r="I176" s="404">
        <v>354049</v>
      </c>
      <c r="J176" s="404">
        <v>292897</v>
      </c>
      <c r="K176" s="404">
        <v>202437</v>
      </c>
      <c r="L176" s="404">
        <v>3622689</v>
      </c>
      <c r="M176" s="404">
        <v>35747</v>
      </c>
      <c r="N176" s="404">
        <v>0</v>
      </c>
      <c r="O176" s="404">
        <v>6300</v>
      </c>
      <c r="P176" s="404">
        <v>213289</v>
      </c>
      <c r="Q176" s="404">
        <v>0</v>
      </c>
      <c r="R176" s="404">
        <v>148214</v>
      </c>
      <c r="S176" s="404">
        <v>0</v>
      </c>
      <c r="T176" s="404">
        <v>0</v>
      </c>
      <c r="U176" s="404">
        <v>0</v>
      </c>
      <c r="V176" s="404">
        <v>483437</v>
      </c>
      <c r="W176" s="404">
        <v>0</v>
      </c>
      <c r="X176" s="404">
        <v>51461</v>
      </c>
      <c r="Y176" s="404">
        <v>0</v>
      </c>
      <c r="Z176" s="404">
        <v>79580</v>
      </c>
      <c r="AA176" s="404">
        <v>0</v>
      </c>
      <c r="AB176" s="404">
        <v>1889535</v>
      </c>
      <c r="AC176" s="404">
        <v>829295</v>
      </c>
      <c r="AD176" s="404">
        <v>9619</v>
      </c>
      <c r="AE176" s="404">
        <v>30988</v>
      </c>
      <c r="AF176" s="404">
        <v>3110598</v>
      </c>
      <c r="AG176" s="404">
        <v>0</v>
      </c>
      <c r="AH176" s="404">
        <v>303671</v>
      </c>
      <c r="AI176" s="404">
        <v>0</v>
      </c>
      <c r="AJ176" s="404">
        <v>8509</v>
      </c>
      <c r="AK176" s="404">
        <v>102348</v>
      </c>
      <c r="AL176" s="404">
        <v>1278559</v>
      </c>
      <c r="AM176" s="404">
        <v>1362027</v>
      </c>
      <c r="AN176" s="404">
        <v>1461587</v>
      </c>
      <c r="AO176" s="404">
        <v>447777</v>
      </c>
      <c r="AP176" s="404">
        <v>0</v>
      </c>
      <c r="AQ176" s="404">
        <v>1692409</v>
      </c>
      <c r="AR176" s="404">
        <v>0</v>
      </c>
      <c r="AS176" s="404">
        <v>0</v>
      </c>
      <c r="AT176" s="404">
        <v>0</v>
      </c>
      <c r="AU176" s="404">
        <v>0</v>
      </c>
      <c r="AV176" s="404">
        <v>0</v>
      </c>
      <c r="AW176" s="404">
        <v>746</v>
      </c>
      <c r="AX176" s="404">
        <v>1011699</v>
      </c>
      <c r="AY176" s="404">
        <v>92910</v>
      </c>
      <c r="AZ176" s="404">
        <v>0</v>
      </c>
      <c r="BA176" s="404">
        <v>0</v>
      </c>
      <c r="BB176" s="404">
        <v>1569465</v>
      </c>
      <c r="BC176" s="404">
        <v>0</v>
      </c>
      <c r="BD176" s="404">
        <v>563302</v>
      </c>
      <c r="BE176" s="404">
        <v>0</v>
      </c>
      <c r="BF176" s="404">
        <v>44396</v>
      </c>
      <c r="BG176" s="404">
        <v>699461</v>
      </c>
      <c r="BH176" s="404">
        <v>337506</v>
      </c>
      <c r="BI176" s="404">
        <v>5870039</v>
      </c>
      <c r="BJ176" s="404">
        <v>0</v>
      </c>
      <c r="BK176" s="404">
        <v>0</v>
      </c>
      <c r="BL176" s="404">
        <v>0</v>
      </c>
      <c r="BM176" s="404">
        <v>1842893</v>
      </c>
      <c r="BN176" s="404">
        <v>1182262</v>
      </c>
      <c r="BO176" s="404">
        <v>0</v>
      </c>
      <c r="BP176" s="404">
        <v>0</v>
      </c>
      <c r="BQ176" s="404">
        <v>693361</v>
      </c>
      <c r="BR176" s="404">
        <v>0</v>
      </c>
      <c r="BS176" s="404">
        <v>0</v>
      </c>
      <c r="BT176" s="404">
        <v>0</v>
      </c>
      <c r="BU176" s="404">
        <v>698725</v>
      </c>
      <c r="BV176" s="404">
        <v>0</v>
      </c>
      <c r="BW176" s="404">
        <v>0</v>
      </c>
      <c r="BX176" s="404">
        <v>550418</v>
      </c>
      <c r="BY176" s="404">
        <v>1409084</v>
      </c>
      <c r="BZ176" s="404">
        <v>0</v>
      </c>
      <c r="CA176" s="404">
        <v>0</v>
      </c>
      <c r="CB176" s="404">
        <v>875033</v>
      </c>
      <c r="CC176" s="404">
        <v>0</v>
      </c>
      <c r="CD176" s="404">
        <v>10662912</v>
      </c>
      <c r="CE176" s="404">
        <v>0</v>
      </c>
      <c r="CF176" s="404">
        <v>114594</v>
      </c>
      <c r="CG176" s="404">
        <v>27590</v>
      </c>
      <c r="CH176" s="404">
        <v>617715</v>
      </c>
      <c r="CI176" s="404">
        <v>17581925</v>
      </c>
      <c r="CJ176" s="404">
        <v>499828</v>
      </c>
      <c r="CK176" s="404">
        <v>242617</v>
      </c>
      <c r="CL176" s="404">
        <v>0</v>
      </c>
      <c r="CM176" s="404">
        <v>284366</v>
      </c>
      <c r="CN176" s="404">
        <v>1022309</v>
      </c>
      <c r="CO176" s="404">
        <v>2514389</v>
      </c>
      <c r="CP176" s="404">
        <v>717189</v>
      </c>
      <c r="CQ176" s="404">
        <v>0</v>
      </c>
      <c r="CR176" s="404">
        <v>0</v>
      </c>
    </row>
    <row r="177" spans="1:96" s="404" customFormat="1" x14ac:dyDescent="0.3">
      <c r="A177" s="404">
        <v>527</v>
      </c>
      <c r="B177" s="405">
        <v>527</v>
      </c>
      <c r="C177" s="404">
        <v>527</v>
      </c>
      <c r="D177" s="404" t="s">
        <v>288</v>
      </c>
      <c r="E177" s="404" t="s">
        <v>493</v>
      </c>
      <c r="F177" s="404">
        <v>0</v>
      </c>
      <c r="G177" s="404">
        <v>0</v>
      </c>
      <c r="H177" s="404">
        <v>0</v>
      </c>
      <c r="I177" s="404">
        <v>0</v>
      </c>
      <c r="J177" s="404">
        <v>20836</v>
      </c>
      <c r="K177" s="404">
        <v>0</v>
      </c>
      <c r="L177" s="404">
        <v>1896904</v>
      </c>
      <c r="M177" s="404">
        <v>0</v>
      </c>
      <c r="N177" s="404">
        <v>0</v>
      </c>
      <c r="O177" s="404">
        <v>0</v>
      </c>
      <c r="P177" s="404">
        <v>0</v>
      </c>
      <c r="Q177" s="404">
        <v>0</v>
      </c>
      <c r="R177" s="404">
        <v>0</v>
      </c>
      <c r="S177" s="404">
        <v>0</v>
      </c>
      <c r="T177" s="404">
        <v>0</v>
      </c>
      <c r="U177" s="404">
        <v>0</v>
      </c>
      <c r="V177" s="404">
        <v>0</v>
      </c>
      <c r="W177" s="404">
        <v>0</v>
      </c>
      <c r="X177" s="404">
        <v>0</v>
      </c>
      <c r="Y177" s="404">
        <v>0</v>
      </c>
      <c r="Z177" s="404">
        <v>0</v>
      </c>
      <c r="AA177" s="404">
        <v>0</v>
      </c>
      <c r="AB177" s="404">
        <v>858368</v>
      </c>
      <c r="AC177" s="404">
        <v>0</v>
      </c>
      <c r="AD177" s="404">
        <v>0</v>
      </c>
      <c r="AE177" s="404">
        <v>0</v>
      </c>
      <c r="AF177" s="404">
        <v>0</v>
      </c>
      <c r="AG177" s="404">
        <v>0</v>
      </c>
      <c r="AH177" s="404">
        <v>0</v>
      </c>
      <c r="AI177" s="404">
        <v>0</v>
      </c>
      <c r="AJ177" s="404">
        <v>0</v>
      </c>
      <c r="AK177" s="404">
        <v>0</v>
      </c>
      <c r="AL177" s="404">
        <v>0</v>
      </c>
      <c r="AM177" s="404">
        <v>0</v>
      </c>
      <c r="AN177" s="404">
        <v>0</v>
      </c>
      <c r="AO177" s="404">
        <v>0</v>
      </c>
      <c r="AP177" s="404">
        <v>0</v>
      </c>
      <c r="AQ177" s="404">
        <v>0</v>
      </c>
      <c r="AR177" s="404">
        <v>0</v>
      </c>
      <c r="AS177" s="404">
        <v>0</v>
      </c>
      <c r="AT177" s="404">
        <v>0</v>
      </c>
      <c r="AU177" s="404">
        <v>0</v>
      </c>
      <c r="AV177" s="404">
        <v>0</v>
      </c>
      <c r="AW177" s="404">
        <v>0</v>
      </c>
      <c r="AX177" s="404">
        <v>0</v>
      </c>
      <c r="AY177" s="404">
        <v>0</v>
      </c>
      <c r="AZ177" s="404">
        <v>1451949</v>
      </c>
      <c r="BA177" s="404">
        <v>0</v>
      </c>
      <c r="BB177" s="404">
        <v>0</v>
      </c>
      <c r="BC177" s="404">
        <v>0</v>
      </c>
      <c r="BD177" s="404">
        <v>0</v>
      </c>
      <c r="BE177" s="404">
        <v>0</v>
      </c>
      <c r="BF177" s="404">
        <v>0</v>
      </c>
      <c r="BG177" s="404">
        <v>0</v>
      </c>
      <c r="BH177" s="404">
        <v>0</v>
      </c>
      <c r="BI177" s="404">
        <v>2347828</v>
      </c>
      <c r="BJ177" s="404">
        <v>0</v>
      </c>
      <c r="BK177" s="404">
        <v>0</v>
      </c>
      <c r="BL177" s="404">
        <v>0</v>
      </c>
      <c r="BM177" s="404">
        <v>230058</v>
      </c>
      <c r="BN177" s="404">
        <v>0</v>
      </c>
      <c r="BO177" s="404">
        <v>0</v>
      </c>
      <c r="BP177" s="404">
        <v>0</v>
      </c>
      <c r="BQ177" s="404">
        <v>0</v>
      </c>
      <c r="BR177" s="404">
        <v>0</v>
      </c>
      <c r="BS177" s="404">
        <v>0</v>
      </c>
      <c r="BT177" s="404">
        <v>0</v>
      </c>
      <c r="BU177" s="404">
        <v>0</v>
      </c>
      <c r="BV177" s="404">
        <v>0</v>
      </c>
      <c r="BW177" s="404">
        <v>0</v>
      </c>
      <c r="BX177" s="404">
        <v>0</v>
      </c>
      <c r="BY177" s="404">
        <v>0</v>
      </c>
      <c r="BZ177" s="404">
        <v>0</v>
      </c>
      <c r="CA177" s="404">
        <v>0</v>
      </c>
      <c r="CB177" s="404">
        <v>0</v>
      </c>
      <c r="CC177" s="404">
        <v>0</v>
      </c>
      <c r="CD177" s="404">
        <v>6362271</v>
      </c>
      <c r="CE177" s="404">
        <v>0</v>
      </c>
      <c r="CF177" s="404">
        <v>16525</v>
      </c>
      <c r="CG177" s="404">
        <v>0</v>
      </c>
      <c r="CH177" s="404">
        <v>0</v>
      </c>
      <c r="CI177" s="404">
        <v>0</v>
      </c>
      <c r="CJ177" s="404">
        <v>146013</v>
      </c>
      <c r="CK177" s="404">
        <v>0</v>
      </c>
      <c r="CL177" s="404">
        <v>0</v>
      </c>
      <c r="CM177" s="404">
        <v>0</v>
      </c>
      <c r="CN177" s="404">
        <v>0</v>
      </c>
      <c r="CO177" s="404">
        <v>0</v>
      </c>
      <c r="CP177" s="404">
        <v>0</v>
      </c>
      <c r="CQ177" s="404">
        <v>0</v>
      </c>
      <c r="CR177" s="404">
        <v>0</v>
      </c>
    </row>
    <row r="178" spans="1:96" s="404" customFormat="1" x14ac:dyDescent="0.3">
      <c r="A178" s="404">
        <v>528</v>
      </c>
      <c r="B178" s="405">
        <v>528</v>
      </c>
      <c r="C178" s="404">
        <v>528</v>
      </c>
      <c r="D178" s="404" t="s">
        <v>270</v>
      </c>
      <c r="E178" s="404" t="s">
        <v>494</v>
      </c>
      <c r="F178" s="404">
        <v>23458</v>
      </c>
      <c r="G178" s="404">
        <v>3675175</v>
      </c>
      <c r="H178" s="404">
        <v>389171</v>
      </c>
      <c r="I178" s="404">
        <v>1647171</v>
      </c>
      <c r="J178" s="404">
        <v>169062</v>
      </c>
      <c r="K178" s="404">
        <v>265842</v>
      </c>
      <c r="L178" s="404">
        <v>16805886</v>
      </c>
      <c r="M178" s="404">
        <v>289391</v>
      </c>
      <c r="N178" s="404">
        <v>297278</v>
      </c>
      <c r="O178" s="404">
        <v>0</v>
      </c>
      <c r="P178" s="404">
        <v>532492</v>
      </c>
      <c r="Q178" s="404">
        <v>28763</v>
      </c>
      <c r="R178" s="404">
        <v>73470</v>
      </c>
      <c r="S178" s="404">
        <v>1242821</v>
      </c>
      <c r="T178" s="404">
        <v>396434</v>
      </c>
      <c r="U178" s="404">
        <v>2680706</v>
      </c>
      <c r="V178" s="404">
        <v>6177153</v>
      </c>
      <c r="W178" s="404">
        <v>1625232</v>
      </c>
      <c r="X178" s="404">
        <v>0</v>
      </c>
      <c r="Y178" s="404">
        <v>1822671</v>
      </c>
      <c r="Z178" s="404">
        <v>953698</v>
      </c>
      <c r="AA178" s="404">
        <v>25700</v>
      </c>
      <c r="AB178" s="404">
        <v>3411319</v>
      </c>
      <c r="AC178" s="404">
        <v>708629</v>
      </c>
      <c r="AD178" s="404">
        <v>595358</v>
      </c>
      <c r="AE178" s="404">
        <v>98703</v>
      </c>
      <c r="AF178" s="404">
        <v>10458377</v>
      </c>
      <c r="AG178" s="404">
        <v>89194</v>
      </c>
      <c r="AH178" s="404">
        <v>2110858</v>
      </c>
      <c r="AI178" s="404">
        <v>903663</v>
      </c>
      <c r="AJ178" s="404">
        <v>47935</v>
      </c>
      <c r="AK178" s="404">
        <v>561923</v>
      </c>
      <c r="AL178" s="404">
        <v>2586113</v>
      </c>
      <c r="AM178" s="404">
        <v>957625</v>
      </c>
      <c r="AN178" s="404">
        <v>811973</v>
      </c>
      <c r="AO178" s="404">
        <v>24754</v>
      </c>
      <c r="AP178" s="404">
        <v>99606</v>
      </c>
      <c r="AQ178" s="404">
        <v>2066891</v>
      </c>
      <c r="AR178" s="404">
        <v>0</v>
      </c>
      <c r="AS178" s="404">
        <v>47883</v>
      </c>
      <c r="AT178" s="404">
        <v>23660</v>
      </c>
      <c r="AU178" s="404">
        <v>429307</v>
      </c>
      <c r="AV178" s="404">
        <v>25517</v>
      </c>
      <c r="AW178" s="404">
        <v>99194</v>
      </c>
      <c r="AX178" s="404">
        <v>1779772</v>
      </c>
      <c r="AY178" s="404">
        <v>159633</v>
      </c>
      <c r="AZ178" s="404">
        <v>26919845</v>
      </c>
      <c r="BA178" s="404">
        <v>908243</v>
      </c>
      <c r="BB178" s="404">
        <v>1382670</v>
      </c>
      <c r="BC178" s="404">
        <v>127004</v>
      </c>
      <c r="BD178" s="404">
        <v>470764</v>
      </c>
      <c r="BE178" s="404">
        <v>703650</v>
      </c>
      <c r="BF178" s="404">
        <v>55575</v>
      </c>
      <c r="BG178" s="404">
        <v>440603</v>
      </c>
      <c r="BH178" s="404">
        <v>1208404</v>
      </c>
      <c r="BI178" s="404">
        <v>4147960</v>
      </c>
      <c r="BJ178" s="404">
        <v>142355</v>
      </c>
      <c r="BK178" s="404">
        <v>4134</v>
      </c>
      <c r="BL178" s="404">
        <v>7232589</v>
      </c>
      <c r="BM178" s="404">
        <v>5659436</v>
      </c>
      <c r="BN178" s="404">
        <v>3220401</v>
      </c>
      <c r="BO178" s="404">
        <v>26217</v>
      </c>
      <c r="BP178" s="404">
        <v>1156039</v>
      </c>
      <c r="BQ178" s="404">
        <v>552611</v>
      </c>
      <c r="BR178" s="404">
        <v>3390842</v>
      </c>
      <c r="BS178" s="404">
        <v>0</v>
      </c>
      <c r="BT178" s="404">
        <v>160104</v>
      </c>
      <c r="BU178" s="404">
        <v>1686308</v>
      </c>
      <c r="BV178" s="404">
        <v>2111020</v>
      </c>
      <c r="BW178" s="404">
        <v>0</v>
      </c>
      <c r="BX178" s="404">
        <v>742390</v>
      </c>
      <c r="BY178" s="404">
        <v>2203084</v>
      </c>
      <c r="BZ178" s="404">
        <v>81755</v>
      </c>
      <c r="CA178" s="404">
        <v>0</v>
      </c>
      <c r="CB178" s="404">
        <v>2680712</v>
      </c>
      <c r="CC178" s="404">
        <v>72559323</v>
      </c>
      <c r="CD178" s="404">
        <v>22119103</v>
      </c>
      <c r="CE178" s="404">
        <v>721562</v>
      </c>
      <c r="CF178" s="404">
        <v>165776</v>
      </c>
      <c r="CG178" s="404">
        <v>187668</v>
      </c>
      <c r="CH178" s="404">
        <v>498019</v>
      </c>
      <c r="CI178" s="404">
        <v>134285759</v>
      </c>
      <c r="CJ178" s="404">
        <v>3547776</v>
      </c>
      <c r="CK178" s="404">
        <v>203948</v>
      </c>
      <c r="CL178" s="404">
        <v>2807930</v>
      </c>
      <c r="CM178" s="404">
        <v>149773</v>
      </c>
      <c r="CN178" s="404">
        <v>3353679</v>
      </c>
      <c r="CO178" s="404">
        <v>1119738</v>
      </c>
      <c r="CP178" s="404">
        <v>315132</v>
      </c>
      <c r="CQ178" s="404">
        <v>1536199</v>
      </c>
      <c r="CR178" s="404">
        <v>6787200</v>
      </c>
    </row>
    <row r="179" spans="1:96" s="404" customFormat="1" x14ac:dyDescent="0.3">
      <c r="A179" s="404">
        <v>529</v>
      </c>
      <c r="B179" s="405">
        <v>529</v>
      </c>
      <c r="C179" s="404">
        <v>529</v>
      </c>
      <c r="D179" s="404" t="s">
        <v>271</v>
      </c>
      <c r="E179" s="404" t="s">
        <v>495</v>
      </c>
      <c r="F179" s="404">
        <v>3860</v>
      </c>
      <c r="G179" s="404">
        <v>415009</v>
      </c>
      <c r="H179" s="404">
        <v>60908</v>
      </c>
      <c r="I179" s="404">
        <v>172282</v>
      </c>
      <c r="J179" s="404">
        <v>29169</v>
      </c>
      <c r="K179" s="404">
        <v>34428</v>
      </c>
      <c r="L179" s="404">
        <v>1142462</v>
      </c>
      <c r="M179" s="404">
        <v>45418</v>
      </c>
      <c r="N179" s="404">
        <v>32396</v>
      </c>
      <c r="O179" s="404">
        <v>0</v>
      </c>
      <c r="P179" s="404">
        <v>72458</v>
      </c>
      <c r="Q179" s="404">
        <v>3435</v>
      </c>
      <c r="R179" s="404">
        <v>12010</v>
      </c>
      <c r="S179" s="404">
        <v>31459</v>
      </c>
      <c r="T179" s="404">
        <v>40167</v>
      </c>
      <c r="U179" s="404">
        <v>113061</v>
      </c>
      <c r="V179" s="404">
        <v>254149</v>
      </c>
      <c r="W179" s="404">
        <v>133230</v>
      </c>
      <c r="X179" s="404">
        <v>0</v>
      </c>
      <c r="Y179" s="404">
        <v>87882</v>
      </c>
      <c r="Z179" s="404">
        <v>97729</v>
      </c>
      <c r="AA179" s="404">
        <v>3711</v>
      </c>
      <c r="AB179" s="404">
        <v>362392</v>
      </c>
      <c r="AC179" s="404">
        <v>45675</v>
      </c>
      <c r="AD179" s="404">
        <v>33452</v>
      </c>
      <c r="AE179" s="404">
        <v>13930</v>
      </c>
      <c r="AF179" s="404">
        <v>1120769</v>
      </c>
      <c r="AG179" s="404">
        <v>15127</v>
      </c>
      <c r="AH179" s="404">
        <v>23939</v>
      </c>
      <c r="AI179" s="404">
        <v>92238</v>
      </c>
      <c r="AJ179" s="404">
        <v>14747</v>
      </c>
      <c r="AK179" s="404">
        <v>66124</v>
      </c>
      <c r="AL179" s="404">
        <v>188076</v>
      </c>
      <c r="AM179" s="404">
        <v>101480</v>
      </c>
      <c r="AN179" s="404">
        <v>92563</v>
      </c>
      <c r="AO179" s="404">
        <v>3472</v>
      </c>
      <c r="AP179" s="404">
        <v>15814</v>
      </c>
      <c r="AQ179" s="404">
        <v>201283</v>
      </c>
      <c r="AR179" s="404">
        <v>0</v>
      </c>
      <c r="AS179" s="404">
        <v>4243</v>
      </c>
      <c r="AT179" s="404">
        <v>3047</v>
      </c>
      <c r="AU179" s="404">
        <v>41848</v>
      </c>
      <c r="AV179" s="404">
        <v>4025</v>
      </c>
      <c r="AW179" s="404">
        <v>14196</v>
      </c>
      <c r="AX179" s="404">
        <v>178651</v>
      </c>
      <c r="AY179" s="404">
        <v>29551</v>
      </c>
      <c r="AZ179" s="404">
        <v>2571796</v>
      </c>
      <c r="BA179" s="404">
        <v>98971</v>
      </c>
      <c r="BB179" s="404">
        <v>123236</v>
      </c>
      <c r="BC179" s="404">
        <v>13918</v>
      </c>
      <c r="BD179" s="404">
        <v>42506</v>
      </c>
      <c r="BE179" s="404">
        <v>69072</v>
      </c>
      <c r="BF179" s="404">
        <v>9501</v>
      </c>
      <c r="BG179" s="404">
        <v>35117</v>
      </c>
      <c r="BH179" s="404">
        <v>86099</v>
      </c>
      <c r="BI179" s="404">
        <v>428344</v>
      </c>
      <c r="BJ179" s="404">
        <v>11823</v>
      </c>
      <c r="BK179" s="404">
        <v>206</v>
      </c>
      <c r="BL179" s="404">
        <v>839707</v>
      </c>
      <c r="BM179" s="404">
        <v>439477</v>
      </c>
      <c r="BN179" s="404">
        <v>177205</v>
      </c>
      <c r="BO179" s="404">
        <v>2204</v>
      </c>
      <c r="BP179" s="404">
        <v>107356</v>
      </c>
      <c r="BQ179" s="404">
        <v>83193</v>
      </c>
      <c r="BR179" s="404">
        <v>379425</v>
      </c>
      <c r="BS179" s="404">
        <v>0</v>
      </c>
      <c r="BT179" s="404">
        <v>18966</v>
      </c>
      <c r="BU179" s="404">
        <v>48565</v>
      </c>
      <c r="BV179" s="404">
        <v>159750</v>
      </c>
      <c r="BW179" s="404">
        <v>0</v>
      </c>
      <c r="BX179" s="404">
        <v>31807</v>
      </c>
      <c r="BY179" s="404">
        <v>219711</v>
      </c>
      <c r="BZ179" s="404">
        <v>9906</v>
      </c>
      <c r="CA179" s="404">
        <v>0</v>
      </c>
      <c r="CB179" s="404">
        <v>256798</v>
      </c>
      <c r="CC179" s="404">
        <v>5215508</v>
      </c>
      <c r="CD179" s="404">
        <v>2397817</v>
      </c>
      <c r="CE179" s="404">
        <v>99157</v>
      </c>
      <c r="CF179" s="404">
        <v>31621</v>
      </c>
      <c r="CG179" s="404">
        <v>26381</v>
      </c>
      <c r="CH179" s="404">
        <v>72808</v>
      </c>
      <c r="CI179" s="404">
        <v>12215783</v>
      </c>
      <c r="CJ179" s="404">
        <v>502713</v>
      </c>
      <c r="CK179" s="404">
        <v>29066</v>
      </c>
      <c r="CL179" s="404">
        <v>150538</v>
      </c>
      <c r="CM179" s="404">
        <v>24125</v>
      </c>
      <c r="CN179" s="404">
        <v>53955</v>
      </c>
      <c r="CO179" s="404">
        <v>107930</v>
      </c>
      <c r="CP179" s="404">
        <v>18892</v>
      </c>
      <c r="CQ179" s="404">
        <v>151804</v>
      </c>
      <c r="CR179" s="404">
        <v>313957</v>
      </c>
    </row>
    <row r="180" spans="1:96" s="404" customFormat="1" x14ac:dyDescent="0.3">
      <c r="A180" s="404">
        <v>530</v>
      </c>
      <c r="B180" s="405">
        <v>530</v>
      </c>
      <c r="C180" s="404">
        <v>530</v>
      </c>
      <c r="D180" s="404" t="s">
        <v>272</v>
      </c>
      <c r="E180" s="404" t="s">
        <v>496</v>
      </c>
      <c r="F180" s="404">
        <v>522</v>
      </c>
      <c r="G180" s="404">
        <v>10892</v>
      </c>
      <c r="H180" s="404">
        <v>9683</v>
      </c>
      <c r="I180" s="404">
        <v>20856</v>
      </c>
      <c r="J180" s="404">
        <v>6973</v>
      </c>
      <c r="K180" s="404">
        <v>13686</v>
      </c>
      <c r="L180" s="404">
        <v>178634</v>
      </c>
      <c r="M180" s="404">
        <v>3321</v>
      </c>
      <c r="N180" s="404">
        <v>2586</v>
      </c>
      <c r="O180" s="404">
        <v>0</v>
      </c>
      <c r="P180" s="404">
        <v>6168</v>
      </c>
      <c r="Q180" s="404">
        <v>1435</v>
      </c>
      <c r="R180" s="404">
        <v>2464</v>
      </c>
      <c r="S180" s="404">
        <v>19228</v>
      </c>
      <c r="T180" s="404">
        <v>1103</v>
      </c>
      <c r="U180" s="404">
        <v>17120</v>
      </c>
      <c r="V180" s="404">
        <v>116814</v>
      </c>
      <c r="W180" s="404">
        <v>15905</v>
      </c>
      <c r="X180" s="404">
        <v>0</v>
      </c>
      <c r="Y180" s="404">
        <v>39376</v>
      </c>
      <c r="Z180" s="404">
        <v>17984</v>
      </c>
      <c r="AA180" s="404">
        <v>3515</v>
      </c>
      <c r="AB180" s="404">
        <v>118001</v>
      </c>
      <c r="AC180" s="404">
        <v>13777</v>
      </c>
      <c r="AD180" s="404">
        <v>3608</v>
      </c>
      <c r="AE180" s="404">
        <v>4980</v>
      </c>
      <c r="AF180" s="404">
        <v>383587</v>
      </c>
      <c r="AG180" s="404">
        <v>857</v>
      </c>
      <c r="AH180" s="404">
        <v>3784</v>
      </c>
      <c r="AI180" s="404">
        <v>1513</v>
      </c>
      <c r="AJ180" s="404">
        <v>2471</v>
      </c>
      <c r="AK180" s="404">
        <v>6911</v>
      </c>
      <c r="AL180" s="404">
        <v>53877</v>
      </c>
      <c r="AM180" s="404">
        <v>24304</v>
      </c>
      <c r="AN180" s="404">
        <v>18923</v>
      </c>
      <c r="AO180" s="404">
        <v>1344</v>
      </c>
      <c r="AP180" s="404">
        <v>1865</v>
      </c>
      <c r="AQ180" s="404">
        <v>47788</v>
      </c>
      <c r="AR180" s="404">
        <v>0</v>
      </c>
      <c r="AS180" s="404">
        <v>2583</v>
      </c>
      <c r="AT180" s="404">
        <v>1085</v>
      </c>
      <c r="AU180" s="404">
        <v>3010</v>
      </c>
      <c r="AV180" s="404">
        <v>2761</v>
      </c>
      <c r="AW180" s="404">
        <v>2113</v>
      </c>
      <c r="AX180" s="404">
        <v>127921</v>
      </c>
      <c r="AY180" s="404">
        <v>19051</v>
      </c>
      <c r="AZ180" s="404">
        <v>74644</v>
      </c>
      <c r="BA180" s="404">
        <v>9975</v>
      </c>
      <c r="BB180" s="404">
        <v>116877</v>
      </c>
      <c r="BC180" s="404">
        <v>2529</v>
      </c>
      <c r="BD180" s="404">
        <v>16818</v>
      </c>
      <c r="BE180" s="404">
        <v>809</v>
      </c>
      <c r="BF180" s="404">
        <v>1176</v>
      </c>
      <c r="BG180" s="404">
        <v>10955</v>
      </c>
      <c r="BH180" s="404">
        <v>46564</v>
      </c>
      <c r="BI180" s="404">
        <v>78093</v>
      </c>
      <c r="BJ180" s="404">
        <v>1837</v>
      </c>
      <c r="BK180" s="404">
        <v>502</v>
      </c>
      <c r="BL180" s="404">
        <v>57357</v>
      </c>
      <c r="BM180" s="404">
        <v>217303</v>
      </c>
      <c r="BN180" s="404">
        <v>49950</v>
      </c>
      <c r="BO180" s="404">
        <v>501</v>
      </c>
      <c r="BP180" s="404">
        <v>14717</v>
      </c>
      <c r="BQ180" s="404">
        <v>37200</v>
      </c>
      <c r="BR180" s="404">
        <v>17235</v>
      </c>
      <c r="BS180" s="404">
        <v>0</v>
      </c>
      <c r="BT180" s="404">
        <v>464</v>
      </c>
      <c r="BU180" s="404">
        <v>33094</v>
      </c>
      <c r="BV180" s="404">
        <v>8015</v>
      </c>
      <c r="BW180" s="404">
        <v>0</v>
      </c>
      <c r="BX180" s="404">
        <v>20821</v>
      </c>
      <c r="BY180" s="404">
        <v>32104</v>
      </c>
      <c r="BZ180" s="404">
        <v>1715</v>
      </c>
      <c r="CA180" s="404">
        <v>0</v>
      </c>
      <c r="CB180" s="404">
        <v>281897</v>
      </c>
      <c r="CC180" s="404">
        <v>761019</v>
      </c>
      <c r="CD180" s="404">
        <v>392338</v>
      </c>
      <c r="CE180" s="404">
        <v>2841</v>
      </c>
      <c r="CF180" s="404">
        <v>5372</v>
      </c>
      <c r="CG180" s="404">
        <v>13286</v>
      </c>
      <c r="CH180" s="404">
        <v>5915</v>
      </c>
      <c r="CI180" s="404">
        <v>1593200</v>
      </c>
      <c r="CJ180" s="404">
        <v>43488</v>
      </c>
      <c r="CK180" s="404">
        <v>16350</v>
      </c>
      <c r="CL180" s="404">
        <v>13771</v>
      </c>
      <c r="CM180" s="404">
        <v>20759</v>
      </c>
      <c r="CN180" s="404">
        <v>14885</v>
      </c>
      <c r="CO180" s="404">
        <v>19795</v>
      </c>
      <c r="CP180" s="404">
        <v>5387</v>
      </c>
      <c r="CQ180" s="404">
        <v>8614</v>
      </c>
      <c r="CR180" s="404">
        <v>29062</v>
      </c>
    </row>
    <row r="181" spans="1:96" s="404" customFormat="1" x14ac:dyDescent="0.3">
      <c r="A181" s="404">
        <v>531</v>
      </c>
      <c r="B181" s="405">
        <v>531</v>
      </c>
      <c r="C181" s="404">
        <v>531</v>
      </c>
      <c r="D181" s="404" t="s">
        <v>273</v>
      </c>
      <c r="E181" s="404" t="s">
        <v>497</v>
      </c>
      <c r="F181" s="404">
        <v>0</v>
      </c>
      <c r="G181" s="404">
        <v>1947</v>
      </c>
      <c r="H181" s="404">
        <v>103</v>
      </c>
      <c r="I181" s="404">
        <v>0</v>
      </c>
      <c r="J181" s="404">
        <v>0</v>
      </c>
      <c r="K181" s="404">
        <v>0</v>
      </c>
      <c r="L181" s="404">
        <v>0</v>
      </c>
      <c r="M181" s="404">
        <v>0</v>
      </c>
      <c r="N181" s="404">
        <v>0</v>
      </c>
      <c r="O181" s="404">
        <v>0</v>
      </c>
      <c r="P181" s="404">
        <v>0</v>
      </c>
      <c r="Q181" s="404">
        <v>0</v>
      </c>
      <c r="R181" s="404">
        <v>0</v>
      </c>
      <c r="S181" s="404">
        <v>0</v>
      </c>
      <c r="T181" s="404">
        <v>0</v>
      </c>
      <c r="U181" s="404">
        <v>0</v>
      </c>
      <c r="V181" s="404">
        <v>0</v>
      </c>
      <c r="W181" s="404">
        <v>0</v>
      </c>
      <c r="X181" s="404">
        <v>0</v>
      </c>
      <c r="Y181" s="404">
        <v>0</v>
      </c>
      <c r="Z181" s="404">
        <v>0</v>
      </c>
      <c r="AA181" s="404">
        <v>0</v>
      </c>
      <c r="AB181" s="404">
        <v>0</v>
      </c>
      <c r="AC181" s="404">
        <v>0</v>
      </c>
      <c r="AD181" s="404">
        <v>0</v>
      </c>
      <c r="AE181" s="404">
        <v>0</v>
      </c>
      <c r="AF181" s="404">
        <v>3523</v>
      </c>
      <c r="AG181" s="404">
        <v>0</v>
      </c>
      <c r="AH181" s="404">
        <v>0</v>
      </c>
      <c r="AI181" s="404">
        <v>0</v>
      </c>
      <c r="AJ181" s="404">
        <v>0</v>
      </c>
      <c r="AK181" s="404">
        <v>0</v>
      </c>
      <c r="AL181" s="404">
        <v>884</v>
      </c>
      <c r="AM181" s="404">
        <v>475</v>
      </c>
      <c r="AN181" s="404">
        <v>0</v>
      </c>
      <c r="AO181" s="404">
        <v>0</v>
      </c>
      <c r="AP181" s="404">
        <v>0</v>
      </c>
      <c r="AQ181" s="404">
        <v>0</v>
      </c>
      <c r="AR181" s="404">
        <v>0</v>
      </c>
      <c r="AS181" s="404">
        <v>0</v>
      </c>
      <c r="AT181" s="404">
        <v>0</v>
      </c>
      <c r="AU181" s="404">
        <v>0</v>
      </c>
      <c r="AV181" s="404">
        <v>0</v>
      </c>
      <c r="AW181" s="404">
        <v>60</v>
      </c>
      <c r="AX181" s="404">
        <v>0</v>
      </c>
      <c r="AY181" s="404">
        <v>0</v>
      </c>
      <c r="AZ181" s="404">
        <v>13176</v>
      </c>
      <c r="BA181" s="404">
        <v>0</v>
      </c>
      <c r="BB181" s="404">
        <v>0</v>
      </c>
      <c r="BC181" s="404">
        <v>0</v>
      </c>
      <c r="BD181" s="404">
        <v>0</v>
      </c>
      <c r="BE181" s="404">
        <v>0</v>
      </c>
      <c r="BF181" s="404">
        <v>0</v>
      </c>
      <c r="BG181" s="404">
        <v>0</v>
      </c>
      <c r="BH181" s="404">
        <v>0</v>
      </c>
      <c r="BI181" s="404">
        <v>0</v>
      </c>
      <c r="BJ181" s="404">
        <v>0</v>
      </c>
      <c r="BK181" s="404">
        <v>0</v>
      </c>
      <c r="BL181" s="404">
        <v>0</v>
      </c>
      <c r="BM181" s="404">
        <v>0</v>
      </c>
      <c r="BN181" s="404">
        <v>0</v>
      </c>
      <c r="BO181" s="404">
        <v>0</v>
      </c>
      <c r="BP181" s="404">
        <v>0</v>
      </c>
      <c r="BQ181" s="404">
        <v>437</v>
      </c>
      <c r="BR181" s="404">
        <v>0</v>
      </c>
      <c r="BS181" s="404">
        <v>0</v>
      </c>
      <c r="BT181" s="404">
        <v>0</v>
      </c>
      <c r="BU181" s="404">
        <v>0</v>
      </c>
      <c r="BV181" s="404">
        <v>0</v>
      </c>
      <c r="BW181" s="404">
        <v>0</v>
      </c>
      <c r="BX181" s="404">
        <v>0</v>
      </c>
      <c r="BY181" s="404">
        <v>0</v>
      </c>
      <c r="BZ181" s="404">
        <v>0</v>
      </c>
      <c r="CA181" s="404">
        <v>0</v>
      </c>
      <c r="CB181" s="404">
        <v>0</v>
      </c>
      <c r="CC181" s="404">
        <v>0</v>
      </c>
      <c r="CD181" s="404">
        <v>7896</v>
      </c>
      <c r="CE181" s="404">
        <v>0</v>
      </c>
      <c r="CF181" s="404">
        <v>152</v>
      </c>
      <c r="CG181" s="404">
        <v>0</v>
      </c>
      <c r="CH181" s="404">
        <v>0</v>
      </c>
      <c r="CI181" s="404">
        <v>0</v>
      </c>
      <c r="CJ181" s="404">
        <v>0</v>
      </c>
      <c r="CK181" s="404">
        <v>0</v>
      </c>
      <c r="CL181" s="404">
        <v>0</v>
      </c>
      <c r="CM181" s="404">
        <v>0</v>
      </c>
      <c r="CN181" s="404">
        <v>0</v>
      </c>
      <c r="CO181" s="404">
        <v>0</v>
      </c>
      <c r="CP181" s="404">
        <v>0</v>
      </c>
      <c r="CQ181" s="404">
        <v>0</v>
      </c>
      <c r="CR181" s="404">
        <v>3235</v>
      </c>
    </row>
    <row r="182" spans="1:96" s="404" customFormat="1" x14ac:dyDescent="0.3">
      <c r="A182" s="404">
        <v>532</v>
      </c>
      <c r="B182" s="405">
        <v>532</v>
      </c>
      <c r="C182" s="404">
        <v>532</v>
      </c>
      <c r="D182" s="404" t="s">
        <v>567</v>
      </c>
      <c r="E182" s="404" t="s">
        <v>498</v>
      </c>
      <c r="F182" s="404">
        <v>246283</v>
      </c>
      <c r="G182" s="404">
        <v>8680718</v>
      </c>
      <c r="H182" s="404">
        <v>1070255</v>
      </c>
      <c r="I182" s="404">
        <v>3668643</v>
      </c>
      <c r="J182" s="404">
        <v>763624</v>
      </c>
      <c r="K182" s="404">
        <v>645791</v>
      </c>
      <c r="L182" s="404">
        <v>34612105</v>
      </c>
      <c r="M182" s="404">
        <v>876837</v>
      </c>
      <c r="N182" s="404">
        <v>731298</v>
      </c>
      <c r="O182" s="404">
        <v>506147</v>
      </c>
      <c r="P182" s="404">
        <v>1454752</v>
      </c>
      <c r="Q182" s="404">
        <v>46901</v>
      </c>
      <c r="R182" s="404">
        <v>244164</v>
      </c>
      <c r="S182" s="404">
        <v>1688071</v>
      </c>
      <c r="T182" s="404">
        <v>1378479</v>
      </c>
      <c r="U182" s="404">
        <v>6890703</v>
      </c>
      <c r="V182" s="404">
        <v>10774013</v>
      </c>
      <c r="W182" s="404">
        <v>4003323</v>
      </c>
      <c r="X182" s="404">
        <v>214304</v>
      </c>
      <c r="Y182" s="404">
        <v>3064667</v>
      </c>
      <c r="Z182" s="404">
        <v>2577417</v>
      </c>
      <c r="AA182" s="404">
        <v>76400</v>
      </c>
      <c r="AB182" s="404">
        <v>10653151</v>
      </c>
      <c r="AC182" s="404">
        <v>2002112</v>
      </c>
      <c r="AD182" s="404">
        <v>809825</v>
      </c>
      <c r="AE182" s="404">
        <v>276030</v>
      </c>
      <c r="AF182" s="404">
        <v>23720797</v>
      </c>
      <c r="AG182" s="404">
        <v>773926</v>
      </c>
      <c r="AH182" s="404">
        <v>3041906</v>
      </c>
      <c r="AI182" s="404">
        <v>1984135</v>
      </c>
      <c r="AJ182" s="404">
        <v>338455</v>
      </c>
      <c r="AK182" s="404">
        <v>1450504</v>
      </c>
      <c r="AL182" s="404">
        <v>3584064</v>
      </c>
      <c r="AM182" s="404">
        <v>3139316</v>
      </c>
      <c r="AN182" s="404">
        <v>1710102</v>
      </c>
      <c r="AO182" s="404">
        <v>237611</v>
      </c>
      <c r="AP182" s="404">
        <v>315224</v>
      </c>
      <c r="AQ182" s="404">
        <v>4771543</v>
      </c>
      <c r="AR182" s="404">
        <v>0</v>
      </c>
      <c r="AS182" s="404">
        <v>144744</v>
      </c>
      <c r="AT182" s="404">
        <v>351006</v>
      </c>
      <c r="AU182" s="404">
        <v>854950</v>
      </c>
      <c r="AV182" s="404">
        <v>102103</v>
      </c>
      <c r="AW182" s="404">
        <v>329306</v>
      </c>
      <c r="AX182" s="404">
        <v>4812783</v>
      </c>
      <c r="AY182" s="404">
        <v>314019</v>
      </c>
      <c r="AZ182" s="404">
        <v>43603069</v>
      </c>
      <c r="BA182" s="404">
        <v>1811590</v>
      </c>
      <c r="BB182" s="404">
        <v>5019073</v>
      </c>
      <c r="BC182" s="404">
        <v>545280</v>
      </c>
      <c r="BD182" s="404">
        <v>860169</v>
      </c>
      <c r="BE182" s="404">
        <v>1208349</v>
      </c>
      <c r="BF182" s="404">
        <v>233206</v>
      </c>
      <c r="BG182" s="404">
        <v>1042003</v>
      </c>
      <c r="BH182" s="404">
        <v>2971631</v>
      </c>
      <c r="BI182" s="404">
        <v>13380221</v>
      </c>
      <c r="BJ182" s="404">
        <v>394356</v>
      </c>
      <c r="BK182" s="404">
        <v>99720</v>
      </c>
      <c r="BL182" s="404">
        <v>10213108</v>
      </c>
      <c r="BM182" s="404">
        <v>13122105</v>
      </c>
      <c r="BN182" s="404">
        <v>7289989</v>
      </c>
      <c r="BO182" s="404">
        <v>96148</v>
      </c>
      <c r="BP182" s="404">
        <v>2038422</v>
      </c>
      <c r="BQ182" s="404">
        <v>1436234</v>
      </c>
      <c r="BR182" s="404">
        <v>7396336</v>
      </c>
      <c r="BS182" s="404">
        <v>506160</v>
      </c>
      <c r="BT182" s="404">
        <v>623855</v>
      </c>
      <c r="BU182" s="404">
        <v>2388360</v>
      </c>
      <c r="BV182" s="404">
        <v>4519101</v>
      </c>
      <c r="BW182" s="404">
        <v>0</v>
      </c>
      <c r="BX182" s="404">
        <v>1625908</v>
      </c>
      <c r="BY182" s="404">
        <v>6101893</v>
      </c>
      <c r="BZ182" s="404">
        <v>187378</v>
      </c>
      <c r="CA182" s="404">
        <v>0</v>
      </c>
      <c r="CB182" s="404">
        <v>5876310</v>
      </c>
      <c r="CC182" s="404">
        <v>94619422</v>
      </c>
      <c r="CD182" s="404">
        <v>52144995</v>
      </c>
      <c r="CE182" s="404">
        <v>1314714</v>
      </c>
      <c r="CF182" s="404">
        <v>2832773</v>
      </c>
      <c r="CG182" s="404">
        <v>639219</v>
      </c>
      <c r="CH182" s="404">
        <v>1337730</v>
      </c>
      <c r="CI182" s="404">
        <v>203557981</v>
      </c>
      <c r="CJ182" s="404">
        <v>10478881</v>
      </c>
      <c r="CK182" s="404">
        <v>358603</v>
      </c>
      <c r="CL182" s="404">
        <v>4625086</v>
      </c>
      <c r="CM182" s="404">
        <v>339909</v>
      </c>
      <c r="CN182" s="404">
        <v>10719475</v>
      </c>
      <c r="CO182" s="404">
        <v>2513793</v>
      </c>
      <c r="CP182" s="404">
        <v>954169</v>
      </c>
      <c r="CQ182" s="404">
        <v>2865371</v>
      </c>
      <c r="CR182" s="404">
        <v>10106882</v>
      </c>
    </row>
    <row r="183" spans="1:96" s="404" customFormat="1" x14ac:dyDescent="0.3">
      <c r="A183" s="404">
        <v>533</v>
      </c>
      <c r="B183" s="405">
        <v>533</v>
      </c>
      <c r="C183" s="404">
        <v>533</v>
      </c>
      <c r="D183" s="404" t="s">
        <v>568</v>
      </c>
      <c r="E183" s="404" t="s">
        <v>499</v>
      </c>
      <c r="F183" s="404">
        <v>0</v>
      </c>
      <c r="G183" s="404">
        <v>0</v>
      </c>
      <c r="H183" s="404">
        <v>0</v>
      </c>
      <c r="I183" s="404">
        <v>795014</v>
      </c>
      <c r="J183" s="404">
        <v>0</v>
      </c>
      <c r="K183" s="404">
        <v>0</v>
      </c>
      <c r="L183" s="404">
        <v>1250000</v>
      </c>
      <c r="M183" s="404">
        <v>0</v>
      </c>
      <c r="N183" s="404">
        <v>0</v>
      </c>
      <c r="O183" s="404">
        <v>0</v>
      </c>
      <c r="P183" s="404">
        <v>38900</v>
      </c>
      <c r="Q183" s="404">
        <v>0</v>
      </c>
      <c r="R183" s="404">
        <v>0</v>
      </c>
      <c r="S183" s="404">
        <v>0</v>
      </c>
      <c r="T183" s="404">
        <v>0</v>
      </c>
      <c r="U183" s="404">
        <v>0</v>
      </c>
      <c r="V183" s="404">
        <v>0</v>
      </c>
      <c r="W183" s="404">
        <v>227700</v>
      </c>
      <c r="X183" s="404">
        <v>0</v>
      </c>
      <c r="Y183" s="404">
        <v>0</v>
      </c>
      <c r="Z183" s="404">
        <v>0</v>
      </c>
      <c r="AA183" s="404">
        <v>0</v>
      </c>
      <c r="AB183" s="404">
        <v>0</v>
      </c>
      <c r="AC183" s="404">
        <v>0</v>
      </c>
      <c r="AD183" s="404">
        <v>0</v>
      </c>
      <c r="AE183" s="404">
        <v>0</v>
      </c>
      <c r="AF183" s="404">
        <v>517230</v>
      </c>
      <c r="AG183" s="404">
        <v>0</v>
      </c>
      <c r="AH183" s="404">
        <v>0</v>
      </c>
      <c r="AI183" s="404">
        <v>0</v>
      </c>
      <c r="AJ183" s="404">
        <v>0</v>
      </c>
      <c r="AK183" s="404">
        <v>0</v>
      </c>
      <c r="AL183" s="404">
        <v>17077</v>
      </c>
      <c r="AM183" s="404">
        <v>218527</v>
      </c>
      <c r="AN183" s="404">
        <v>0</v>
      </c>
      <c r="AO183" s="404">
        <v>0</v>
      </c>
      <c r="AP183" s="404">
        <v>0</v>
      </c>
      <c r="AQ183" s="404">
        <v>85003</v>
      </c>
      <c r="AR183" s="404">
        <v>0</v>
      </c>
      <c r="AS183" s="404">
        <v>0</v>
      </c>
      <c r="AT183" s="404">
        <v>0</v>
      </c>
      <c r="AU183" s="404">
        <v>0</v>
      </c>
      <c r="AV183" s="404">
        <v>0</v>
      </c>
      <c r="AW183" s="404">
        <v>0</v>
      </c>
      <c r="AX183" s="404">
        <v>27645</v>
      </c>
      <c r="AY183" s="404">
        <v>0</v>
      </c>
      <c r="AZ183" s="404">
        <v>536925</v>
      </c>
      <c r="BA183" s="404">
        <v>0</v>
      </c>
      <c r="BB183" s="404">
        <v>372672</v>
      </c>
      <c r="BC183" s="404">
        <v>0</v>
      </c>
      <c r="BD183" s="404">
        <v>0</v>
      </c>
      <c r="BE183" s="404">
        <v>0</v>
      </c>
      <c r="BF183" s="404">
        <v>0</v>
      </c>
      <c r="BG183" s="404">
        <v>0</v>
      </c>
      <c r="BH183" s="404">
        <v>0</v>
      </c>
      <c r="BI183" s="404">
        <v>0</v>
      </c>
      <c r="BJ183" s="404">
        <v>0</v>
      </c>
      <c r="BK183" s="404">
        <v>0</v>
      </c>
      <c r="BL183" s="404">
        <v>0</v>
      </c>
      <c r="BM183" s="404">
        <v>800000</v>
      </c>
      <c r="BN183" s="404">
        <v>0</v>
      </c>
      <c r="BO183" s="404">
        <v>0</v>
      </c>
      <c r="BP183" s="404">
        <v>0</v>
      </c>
      <c r="BQ183" s="404">
        <v>0</v>
      </c>
      <c r="BR183" s="404">
        <v>0</v>
      </c>
      <c r="BS183" s="404">
        <v>0</v>
      </c>
      <c r="BT183" s="404">
        <v>0</v>
      </c>
      <c r="BU183" s="404">
        <v>0</v>
      </c>
      <c r="BV183" s="404">
        <v>780095</v>
      </c>
      <c r="BW183" s="404">
        <v>0</v>
      </c>
      <c r="BX183" s="404">
        <v>0</v>
      </c>
      <c r="BY183" s="404">
        <v>778627</v>
      </c>
      <c r="BZ183" s="404">
        <v>0</v>
      </c>
      <c r="CA183" s="404">
        <v>0</v>
      </c>
      <c r="CB183" s="404">
        <v>0</v>
      </c>
      <c r="CC183" s="404">
        <v>0</v>
      </c>
      <c r="CD183" s="404">
        <v>0</v>
      </c>
      <c r="CE183" s="404">
        <v>84872</v>
      </c>
      <c r="CF183" s="404">
        <v>0</v>
      </c>
      <c r="CG183" s="404">
        <v>0</v>
      </c>
      <c r="CH183" s="404">
        <v>13529</v>
      </c>
      <c r="CI183" s="404">
        <v>0</v>
      </c>
      <c r="CJ183" s="404">
        <v>0</v>
      </c>
      <c r="CK183" s="404">
        <v>0</v>
      </c>
      <c r="CL183" s="404">
        <v>0</v>
      </c>
      <c r="CM183" s="404">
        <v>0</v>
      </c>
      <c r="CN183" s="404">
        <v>0</v>
      </c>
      <c r="CO183" s="404">
        <v>0</v>
      </c>
      <c r="CP183" s="404">
        <v>34901</v>
      </c>
      <c r="CQ183" s="404">
        <v>504425</v>
      </c>
      <c r="CR183" s="404">
        <v>0</v>
      </c>
    </row>
    <row r="184" spans="1:96" s="404" customFormat="1" x14ac:dyDescent="0.3">
      <c r="A184" s="404">
        <v>534</v>
      </c>
      <c r="B184" s="405"/>
      <c r="C184" s="404">
        <v>534</v>
      </c>
      <c r="D184" s="404" t="s">
        <v>274</v>
      </c>
      <c r="E184" s="404" t="s">
        <v>500</v>
      </c>
    </row>
    <row r="185" spans="1:96" s="404" customFormat="1" x14ac:dyDescent="0.3">
      <c r="A185" s="404">
        <v>535</v>
      </c>
      <c r="B185" s="405">
        <v>535</v>
      </c>
      <c r="C185" s="404">
        <v>535</v>
      </c>
      <c r="D185" s="404" t="s">
        <v>253</v>
      </c>
      <c r="E185" s="404" t="s">
        <v>501</v>
      </c>
      <c r="F185" s="404">
        <v>0</v>
      </c>
      <c r="G185" s="404">
        <v>0</v>
      </c>
      <c r="H185" s="404">
        <v>0</v>
      </c>
      <c r="I185" s="404">
        <v>0</v>
      </c>
      <c r="J185" s="404">
        <v>0</v>
      </c>
      <c r="K185" s="404">
        <v>0</v>
      </c>
      <c r="L185" s="404">
        <v>0</v>
      </c>
      <c r="M185" s="404">
        <v>0</v>
      </c>
      <c r="N185" s="404">
        <v>0</v>
      </c>
      <c r="O185" s="404">
        <v>0</v>
      </c>
      <c r="P185" s="404">
        <v>0</v>
      </c>
      <c r="Q185" s="404">
        <v>0</v>
      </c>
      <c r="R185" s="404">
        <v>0</v>
      </c>
      <c r="S185" s="404">
        <v>0</v>
      </c>
      <c r="T185" s="404">
        <v>0</v>
      </c>
      <c r="U185" s="404">
        <v>0</v>
      </c>
      <c r="V185" s="404">
        <v>0</v>
      </c>
      <c r="W185" s="404">
        <v>0</v>
      </c>
      <c r="X185" s="404">
        <v>0</v>
      </c>
      <c r="Y185" s="404">
        <v>0</v>
      </c>
      <c r="Z185" s="404">
        <v>0</v>
      </c>
      <c r="AA185" s="404">
        <v>0</v>
      </c>
      <c r="AB185" s="404">
        <v>0</v>
      </c>
      <c r="AC185" s="404">
        <v>0</v>
      </c>
      <c r="AD185" s="404">
        <v>0</v>
      </c>
      <c r="AE185" s="404">
        <v>0</v>
      </c>
      <c r="AF185" s="404">
        <v>1324245</v>
      </c>
      <c r="AG185" s="404">
        <v>0</v>
      </c>
      <c r="AH185" s="404">
        <v>0</v>
      </c>
      <c r="AI185" s="404">
        <v>0</v>
      </c>
      <c r="AJ185" s="404">
        <v>0</v>
      </c>
      <c r="AK185" s="404">
        <v>0</v>
      </c>
      <c r="AL185" s="404">
        <v>0</v>
      </c>
      <c r="AM185" s="404">
        <v>0</v>
      </c>
      <c r="AN185" s="404">
        <v>0</v>
      </c>
      <c r="AO185" s="404">
        <v>0</v>
      </c>
      <c r="AP185" s="404">
        <v>0</v>
      </c>
      <c r="AQ185" s="404">
        <v>0</v>
      </c>
      <c r="AR185" s="404">
        <v>0</v>
      </c>
      <c r="AS185" s="404">
        <v>0</v>
      </c>
      <c r="AT185" s="404">
        <v>0</v>
      </c>
      <c r="AU185" s="404">
        <v>0</v>
      </c>
      <c r="AV185" s="404">
        <v>1</v>
      </c>
      <c r="AW185" s="404">
        <v>0</v>
      </c>
      <c r="AX185" s="404">
        <v>0</v>
      </c>
      <c r="AY185" s="404">
        <v>0</v>
      </c>
      <c r="AZ185" s="404">
        <v>319463</v>
      </c>
      <c r="BA185" s="404">
        <v>0</v>
      </c>
      <c r="BB185" s="404">
        <v>0</v>
      </c>
      <c r="BC185" s="404">
        <v>0</v>
      </c>
      <c r="BD185" s="404">
        <v>0</v>
      </c>
      <c r="BE185" s="404">
        <v>0</v>
      </c>
      <c r="BF185" s="404">
        <v>0</v>
      </c>
      <c r="BG185" s="404">
        <v>0</v>
      </c>
      <c r="BH185" s="404">
        <v>0</v>
      </c>
      <c r="BI185" s="404">
        <v>0</v>
      </c>
      <c r="BJ185" s="404">
        <v>0</v>
      </c>
      <c r="BK185" s="404">
        <v>0</v>
      </c>
      <c r="BL185" s="404">
        <v>0</v>
      </c>
      <c r="BM185" s="404">
        <v>0</v>
      </c>
      <c r="BN185" s="404">
        <v>2280000</v>
      </c>
      <c r="BO185" s="404">
        <v>0</v>
      </c>
      <c r="BP185" s="404">
        <v>0</v>
      </c>
      <c r="BQ185" s="404">
        <v>0</v>
      </c>
      <c r="BR185" s="404">
        <v>0</v>
      </c>
      <c r="BS185" s="404">
        <v>0</v>
      </c>
      <c r="BT185" s="404">
        <v>0</v>
      </c>
      <c r="BU185" s="404">
        <v>0</v>
      </c>
      <c r="BV185" s="404">
        <v>0</v>
      </c>
      <c r="BW185" s="404">
        <v>0</v>
      </c>
      <c r="BX185" s="404">
        <v>0</v>
      </c>
      <c r="BY185" s="404">
        <v>950144</v>
      </c>
      <c r="BZ185" s="404">
        <v>0</v>
      </c>
      <c r="CA185" s="404">
        <v>0</v>
      </c>
      <c r="CB185" s="404">
        <v>3910436</v>
      </c>
      <c r="CC185" s="404">
        <v>39331186</v>
      </c>
      <c r="CD185" s="404">
        <v>0</v>
      </c>
      <c r="CE185" s="404">
        <v>0</v>
      </c>
      <c r="CF185" s="404">
        <v>0</v>
      </c>
      <c r="CG185" s="404">
        <v>0</v>
      </c>
      <c r="CH185" s="404">
        <v>0</v>
      </c>
      <c r="CI185" s="404">
        <v>26791887</v>
      </c>
      <c r="CJ185" s="404">
        <v>0</v>
      </c>
      <c r="CK185" s="404">
        <v>0</v>
      </c>
      <c r="CL185" s="404">
        <v>0</v>
      </c>
      <c r="CM185" s="404">
        <v>0</v>
      </c>
      <c r="CN185" s="404">
        <v>0</v>
      </c>
      <c r="CO185" s="404">
        <v>0</v>
      </c>
      <c r="CP185" s="404">
        <v>0</v>
      </c>
      <c r="CQ185" s="404">
        <v>0</v>
      </c>
      <c r="CR185" s="404">
        <v>0</v>
      </c>
    </row>
    <row r="186" spans="1:96" s="404" customFormat="1" x14ac:dyDescent="0.3">
      <c r="A186" s="404">
        <v>536</v>
      </c>
      <c r="B186" s="405">
        <v>536</v>
      </c>
      <c r="C186" s="404">
        <v>536</v>
      </c>
      <c r="D186" s="404" t="s">
        <v>199</v>
      </c>
      <c r="E186" s="404" t="s">
        <v>502</v>
      </c>
      <c r="F186" s="404">
        <v>183347</v>
      </c>
      <c r="G186" s="404">
        <v>352760</v>
      </c>
      <c r="H186" s="404">
        <v>3911</v>
      </c>
      <c r="I186" s="404">
        <v>400514</v>
      </c>
      <c r="J186" s="404">
        <v>169860</v>
      </c>
      <c r="K186" s="404">
        <v>102246</v>
      </c>
      <c r="L186" s="404">
        <v>155635</v>
      </c>
      <c r="M186" s="404">
        <v>25458</v>
      </c>
      <c r="N186" s="404">
        <v>49750</v>
      </c>
      <c r="O186" s="404">
        <v>4313</v>
      </c>
      <c r="P186" s="404">
        <v>280844</v>
      </c>
      <c r="Q186" s="404">
        <v>76455</v>
      </c>
      <c r="R186" s="404">
        <v>50433</v>
      </c>
      <c r="S186" s="404">
        <v>0</v>
      </c>
      <c r="T186" s="404">
        <v>2388</v>
      </c>
      <c r="U186" s="404">
        <v>135515</v>
      </c>
      <c r="V186" s="404">
        <v>279622</v>
      </c>
      <c r="W186" s="404">
        <v>39384</v>
      </c>
      <c r="X186" s="404">
        <v>0</v>
      </c>
      <c r="Y186" s="404">
        <v>732181</v>
      </c>
      <c r="Z186" s="404">
        <v>0</v>
      </c>
      <c r="AA186" s="404">
        <v>10107</v>
      </c>
      <c r="AB186" s="404">
        <v>866582</v>
      </c>
      <c r="AC186" s="404">
        <v>87060</v>
      </c>
      <c r="AD186" s="404">
        <v>189320</v>
      </c>
      <c r="AE186" s="404">
        <v>71686</v>
      </c>
      <c r="AF186" s="404">
        <v>1345705</v>
      </c>
      <c r="AG186" s="404">
        <v>746117</v>
      </c>
      <c r="AH186" s="404">
        <v>54861</v>
      </c>
      <c r="AI186" s="404">
        <v>360186</v>
      </c>
      <c r="AJ186" s="404">
        <v>11893</v>
      </c>
      <c r="AK186" s="404">
        <v>548273</v>
      </c>
      <c r="AL186" s="404">
        <v>85164</v>
      </c>
      <c r="AM186" s="404">
        <v>743190</v>
      </c>
      <c r="AN186" s="404">
        <v>7328</v>
      </c>
      <c r="AO186" s="404">
        <v>8763</v>
      </c>
      <c r="AP186" s="404">
        <v>0</v>
      </c>
      <c r="AQ186" s="404">
        <v>130454</v>
      </c>
      <c r="AR186" s="404">
        <v>0</v>
      </c>
      <c r="AS186" s="404">
        <v>82701</v>
      </c>
      <c r="AT186" s="404">
        <v>0</v>
      </c>
      <c r="AU186" s="404">
        <v>116282</v>
      </c>
      <c r="AV186" s="404">
        <v>136010</v>
      </c>
      <c r="AW186" s="404">
        <v>157905</v>
      </c>
      <c r="AX186" s="404">
        <v>190446</v>
      </c>
      <c r="AY186" s="404">
        <v>103600</v>
      </c>
      <c r="AZ186" s="404">
        <v>590671</v>
      </c>
      <c r="BA186" s="404">
        <v>774072</v>
      </c>
      <c r="BB186" s="404">
        <v>167018</v>
      </c>
      <c r="BC186" s="404">
        <v>0</v>
      </c>
      <c r="BD186" s="404">
        <v>82085</v>
      </c>
      <c r="BE186" s="404">
        <v>59005</v>
      </c>
      <c r="BF186" s="404">
        <v>29977</v>
      </c>
      <c r="BG186" s="404">
        <v>36968</v>
      </c>
      <c r="BH186" s="404">
        <v>98258</v>
      </c>
      <c r="BI186" s="404">
        <v>6053</v>
      </c>
      <c r="BJ186" s="404">
        <v>71294</v>
      </c>
      <c r="BK186" s="404">
        <v>18608</v>
      </c>
      <c r="BL186" s="404">
        <v>0</v>
      </c>
      <c r="BM186" s="404">
        <v>242171</v>
      </c>
      <c r="BN186" s="404">
        <v>307306</v>
      </c>
      <c r="BO186" s="404">
        <v>0</v>
      </c>
      <c r="BP186" s="404">
        <v>75002</v>
      </c>
      <c r="BQ186" s="404">
        <v>164422</v>
      </c>
      <c r="BR186" s="404">
        <v>2263928</v>
      </c>
      <c r="BS186" s="404">
        <v>0</v>
      </c>
      <c r="BT186" s="404">
        <v>130364</v>
      </c>
      <c r="BU186" s="404">
        <v>574989</v>
      </c>
      <c r="BV186" s="404">
        <v>1188197</v>
      </c>
      <c r="BW186" s="404">
        <v>0</v>
      </c>
      <c r="BX186" s="404">
        <v>117674</v>
      </c>
      <c r="BY186" s="404">
        <v>91179</v>
      </c>
      <c r="BZ186" s="404">
        <v>0</v>
      </c>
      <c r="CA186" s="404">
        <v>0</v>
      </c>
      <c r="CB186" s="404">
        <v>401039</v>
      </c>
      <c r="CC186" s="404">
        <v>0</v>
      </c>
      <c r="CD186" s="404">
        <v>778049</v>
      </c>
      <c r="CE186" s="404">
        <v>174422</v>
      </c>
      <c r="CF186" s="404">
        <v>0</v>
      </c>
      <c r="CG186" s="404">
        <v>29763</v>
      </c>
      <c r="CH186" s="404">
        <v>206059</v>
      </c>
      <c r="CI186" s="404">
        <v>0</v>
      </c>
      <c r="CJ186" s="404">
        <v>579742</v>
      </c>
      <c r="CK186" s="404">
        <v>97423</v>
      </c>
      <c r="CL186" s="404">
        <v>188223</v>
      </c>
      <c r="CM186" s="404">
        <v>168512</v>
      </c>
      <c r="CN186" s="404">
        <v>111380</v>
      </c>
      <c r="CO186" s="404">
        <v>48190</v>
      </c>
      <c r="CP186" s="404">
        <v>301921</v>
      </c>
      <c r="CQ186" s="404">
        <v>54317</v>
      </c>
      <c r="CR186" s="404">
        <v>1255186</v>
      </c>
    </row>
    <row r="187" spans="1:96" s="404" customFormat="1" x14ac:dyDescent="0.3">
      <c r="A187" s="404">
        <v>537</v>
      </c>
      <c r="B187" s="405">
        <v>537</v>
      </c>
      <c r="C187" s="404">
        <v>537</v>
      </c>
      <c r="D187" s="404" t="s">
        <v>1772</v>
      </c>
      <c r="E187" s="404" t="s">
        <v>503</v>
      </c>
      <c r="F187" s="404">
        <v>2</v>
      </c>
      <c r="G187" s="404">
        <v>2</v>
      </c>
      <c r="H187" s="404">
        <v>2</v>
      </c>
      <c r="I187" s="404">
        <v>2</v>
      </c>
      <c r="J187" s="404">
        <v>1</v>
      </c>
      <c r="K187" s="404">
        <v>1</v>
      </c>
      <c r="L187" s="404">
        <v>2</v>
      </c>
      <c r="M187" s="404">
        <v>2</v>
      </c>
      <c r="N187" s="404">
        <v>2</v>
      </c>
      <c r="O187" s="404">
        <v>2</v>
      </c>
      <c r="P187" s="404">
        <v>2</v>
      </c>
      <c r="Q187" s="404">
        <v>2</v>
      </c>
      <c r="R187" s="404">
        <v>2</v>
      </c>
      <c r="S187" s="404">
        <v>2</v>
      </c>
      <c r="T187" s="404">
        <v>2</v>
      </c>
      <c r="U187" s="404">
        <v>2</v>
      </c>
      <c r="V187" s="404">
        <v>2</v>
      </c>
      <c r="W187" s="404">
        <v>2</v>
      </c>
      <c r="X187" s="404">
        <v>2</v>
      </c>
      <c r="Y187" s="404">
        <v>2</v>
      </c>
      <c r="Z187" s="404">
        <v>2</v>
      </c>
      <c r="AA187" s="404">
        <v>2</v>
      </c>
      <c r="AB187" s="404">
        <v>2</v>
      </c>
      <c r="AC187" s="404">
        <v>2</v>
      </c>
      <c r="AD187" s="404">
        <v>1</v>
      </c>
      <c r="AE187" s="404">
        <v>2</v>
      </c>
      <c r="AF187" s="404">
        <v>1</v>
      </c>
      <c r="AG187" s="404">
        <v>2</v>
      </c>
      <c r="AH187" s="404">
        <v>2</v>
      </c>
      <c r="AI187" s="404">
        <v>2</v>
      </c>
      <c r="AJ187" s="404">
        <v>2</v>
      </c>
      <c r="AK187" s="404">
        <v>2</v>
      </c>
      <c r="AL187" s="404">
        <v>2</v>
      </c>
      <c r="AM187" s="404">
        <v>2</v>
      </c>
      <c r="AN187" s="404">
        <v>2</v>
      </c>
      <c r="AO187" s="404">
        <v>2</v>
      </c>
      <c r="AP187" s="404">
        <v>2</v>
      </c>
      <c r="AQ187" s="404">
        <v>1</v>
      </c>
      <c r="AR187" s="404">
        <v>0</v>
      </c>
      <c r="AS187" s="404">
        <v>2</v>
      </c>
      <c r="AT187" s="404">
        <v>2</v>
      </c>
      <c r="AU187" s="404">
        <v>2</v>
      </c>
      <c r="AV187" s="404">
        <v>2</v>
      </c>
      <c r="AW187" s="404">
        <v>2</v>
      </c>
      <c r="AX187" s="404">
        <v>2</v>
      </c>
      <c r="AY187" s="404">
        <v>2</v>
      </c>
      <c r="AZ187" s="404">
        <v>2</v>
      </c>
      <c r="BA187" s="404">
        <v>2</v>
      </c>
      <c r="BB187" s="404">
        <v>2</v>
      </c>
      <c r="BC187" s="404">
        <v>2</v>
      </c>
      <c r="BD187" s="404">
        <v>2</v>
      </c>
      <c r="BE187" s="404">
        <v>1</v>
      </c>
      <c r="BF187" s="404">
        <v>2</v>
      </c>
      <c r="BG187" s="404">
        <v>2</v>
      </c>
      <c r="BH187" s="404">
        <v>2</v>
      </c>
      <c r="BI187" s="404">
        <v>1</v>
      </c>
      <c r="BJ187" s="404">
        <v>2</v>
      </c>
      <c r="BK187" s="404">
        <v>2</v>
      </c>
      <c r="BL187" s="404">
        <v>2</v>
      </c>
      <c r="BM187" s="404">
        <v>1</v>
      </c>
      <c r="BN187" s="404">
        <v>1</v>
      </c>
      <c r="BO187" s="404">
        <v>2</v>
      </c>
      <c r="BP187" s="404">
        <v>2</v>
      </c>
      <c r="BQ187" s="404">
        <v>2</v>
      </c>
      <c r="BR187" s="404">
        <v>2</v>
      </c>
      <c r="BS187" s="404">
        <v>2</v>
      </c>
      <c r="BT187" s="404">
        <v>2</v>
      </c>
      <c r="BU187" s="404">
        <v>2</v>
      </c>
      <c r="BV187" s="404">
        <v>2</v>
      </c>
      <c r="BW187" s="404">
        <v>0</v>
      </c>
      <c r="BX187" s="404">
        <v>1</v>
      </c>
      <c r="BY187" s="404">
        <v>2</v>
      </c>
      <c r="BZ187" s="404">
        <v>2</v>
      </c>
      <c r="CA187" s="404">
        <v>0</v>
      </c>
      <c r="CB187" s="404">
        <v>2</v>
      </c>
      <c r="CC187" s="404">
        <v>2</v>
      </c>
      <c r="CD187" s="404">
        <v>1</v>
      </c>
      <c r="CE187" s="404">
        <v>2</v>
      </c>
      <c r="CF187" s="404">
        <v>1</v>
      </c>
      <c r="CG187" s="404">
        <v>2</v>
      </c>
      <c r="CH187" s="404">
        <v>1</v>
      </c>
      <c r="CI187" s="404">
        <v>1</v>
      </c>
      <c r="CJ187" s="404">
        <v>2</v>
      </c>
      <c r="CK187" s="404">
        <v>2</v>
      </c>
      <c r="CL187" s="404">
        <v>2</v>
      </c>
      <c r="CM187" s="404">
        <v>2</v>
      </c>
      <c r="CN187" s="404">
        <v>2</v>
      </c>
      <c r="CO187" s="404">
        <v>2</v>
      </c>
      <c r="CP187" s="404">
        <v>2</v>
      </c>
      <c r="CQ187" s="404">
        <v>2</v>
      </c>
      <c r="CR187" s="404">
        <v>2</v>
      </c>
    </row>
    <row r="188" spans="1:96" s="404" customFormat="1" x14ac:dyDescent="0.3">
      <c r="A188" s="404">
        <v>538</v>
      </c>
      <c r="B188" s="405">
        <v>538</v>
      </c>
      <c r="C188" s="404">
        <v>538</v>
      </c>
      <c r="D188" s="404" t="s">
        <v>1773</v>
      </c>
      <c r="E188" s="404" t="s">
        <v>504</v>
      </c>
      <c r="F188" s="404">
        <v>2</v>
      </c>
      <c r="G188" s="404">
        <v>2</v>
      </c>
      <c r="H188" s="404">
        <v>2</v>
      </c>
      <c r="I188" s="404">
        <v>2</v>
      </c>
      <c r="J188" s="404">
        <v>1</v>
      </c>
      <c r="K188" s="404">
        <v>2</v>
      </c>
      <c r="L188" s="404">
        <v>2</v>
      </c>
      <c r="M188" s="404">
        <v>2</v>
      </c>
      <c r="N188" s="404">
        <v>2</v>
      </c>
      <c r="O188" s="404">
        <v>2</v>
      </c>
      <c r="P188" s="404">
        <v>2</v>
      </c>
      <c r="Q188" s="404">
        <v>2</v>
      </c>
      <c r="R188" s="404">
        <v>1</v>
      </c>
      <c r="S188" s="404">
        <v>2</v>
      </c>
      <c r="T188" s="404">
        <v>2</v>
      </c>
      <c r="U188" s="404">
        <v>2</v>
      </c>
      <c r="V188" s="404">
        <v>2</v>
      </c>
      <c r="W188" s="404">
        <v>2</v>
      </c>
      <c r="X188" s="404">
        <v>2</v>
      </c>
      <c r="Y188" s="404">
        <v>2</v>
      </c>
      <c r="Z188" s="404">
        <v>2</v>
      </c>
      <c r="AA188" s="404">
        <v>2</v>
      </c>
      <c r="AB188" s="404">
        <v>2</v>
      </c>
      <c r="AC188" s="404">
        <v>2</v>
      </c>
      <c r="AD188" s="404">
        <v>1</v>
      </c>
      <c r="AE188" s="404">
        <v>2</v>
      </c>
      <c r="AF188" s="404">
        <v>1</v>
      </c>
      <c r="AG188" s="404">
        <v>2</v>
      </c>
      <c r="AH188" s="404">
        <v>2</v>
      </c>
      <c r="AI188" s="404">
        <v>2</v>
      </c>
      <c r="AJ188" s="404">
        <v>2</v>
      </c>
      <c r="AK188" s="404">
        <v>2</v>
      </c>
      <c r="AL188" s="404">
        <v>1</v>
      </c>
      <c r="AM188" s="404">
        <v>2</v>
      </c>
      <c r="AN188" s="404">
        <v>1</v>
      </c>
      <c r="AO188" s="404">
        <v>2</v>
      </c>
      <c r="AP188" s="404">
        <v>2</v>
      </c>
      <c r="AQ188" s="404">
        <v>1</v>
      </c>
      <c r="AR188" s="404">
        <v>0</v>
      </c>
      <c r="AS188" s="404">
        <v>2</v>
      </c>
      <c r="AT188" s="404">
        <v>2</v>
      </c>
      <c r="AU188" s="404">
        <v>2</v>
      </c>
      <c r="AV188" s="404">
        <v>2</v>
      </c>
      <c r="AW188" s="404">
        <v>2</v>
      </c>
      <c r="AX188" s="404">
        <v>2</v>
      </c>
      <c r="AY188" s="404">
        <v>2</v>
      </c>
      <c r="AZ188" s="404">
        <v>2</v>
      </c>
      <c r="BA188" s="404">
        <v>2</v>
      </c>
      <c r="BB188" s="404">
        <v>2</v>
      </c>
      <c r="BC188" s="404">
        <v>2</v>
      </c>
      <c r="BD188" s="404">
        <v>2</v>
      </c>
      <c r="BE188" s="404">
        <v>1</v>
      </c>
      <c r="BF188" s="404">
        <v>2</v>
      </c>
      <c r="BG188" s="404">
        <v>2</v>
      </c>
      <c r="BH188" s="404">
        <v>2</v>
      </c>
      <c r="BI188" s="404">
        <v>1</v>
      </c>
      <c r="BJ188" s="404">
        <v>2</v>
      </c>
      <c r="BK188" s="404">
        <v>2</v>
      </c>
      <c r="BL188" s="404">
        <v>2</v>
      </c>
      <c r="BM188" s="404">
        <v>1</v>
      </c>
      <c r="BN188" s="404">
        <v>1</v>
      </c>
      <c r="BO188" s="404">
        <v>2</v>
      </c>
      <c r="BP188" s="404">
        <v>2</v>
      </c>
      <c r="BQ188" s="404">
        <v>2</v>
      </c>
      <c r="BR188" s="404">
        <v>2</v>
      </c>
      <c r="BS188" s="404">
        <v>2</v>
      </c>
      <c r="BT188" s="404">
        <v>2</v>
      </c>
      <c r="BU188" s="404">
        <v>2</v>
      </c>
      <c r="BV188" s="404">
        <v>2</v>
      </c>
      <c r="BW188" s="404">
        <v>0</v>
      </c>
      <c r="BX188" s="404">
        <v>1</v>
      </c>
      <c r="BY188" s="404">
        <v>2</v>
      </c>
      <c r="BZ188" s="404">
        <v>2</v>
      </c>
      <c r="CA188" s="404">
        <v>0</v>
      </c>
      <c r="CB188" s="404">
        <v>1</v>
      </c>
      <c r="CC188" s="404">
        <v>2</v>
      </c>
      <c r="CD188" s="404">
        <v>2</v>
      </c>
      <c r="CE188" s="404">
        <v>2</v>
      </c>
      <c r="CF188" s="404">
        <v>1</v>
      </c>
      <c r="CG188" s="404">
        <v>2</v>
      </c>
      <c r="CH188" s="404">
        <v>1</v>
      </c>
      <c r="CI188" s="404">
        <v>2</v>
      </c>
      <c r="CJ188" s="404">
        <v>1</v>
      </c>
      <c r="CK188" s="404">
        <v>2</v>
      </c>
      <c r="CL188" s="404">
        <v>2</v>
      </c>
      <c r="CM188" s="404">
        <v>2</v>
      </c>
      <c r="CN188" s="404">
        <v>2</v>
      </c>
      <c r="CO188" s="404">
        <v>2</v>
      </c>
      <c r="CP188" s="404">
        <v>2</v>
      </c>
      <c r="CQ188" s="404">
        <v>2</v>
      </c>
      <c r="CR188" s="404">
        <v>2</v>
      </c>
    </row>
    <row r="189" spans="1:96" s="404" customFormat="1" x14ac:dyDescent="0.3">
      <c r="A189" s="404">
        <v>539</v>
      </c>
      <c r="B189" s="405"/>
      <c r="C189" s="404">
        <v>539</v>
      </c>
      <c r="D189" s="404" t="s">
        <v>1774</v>
      </c>
      <c r="E189" s="404" t="s">
        <v>505</v>
      </c>
    </row>
    <row r="190" spans="1:96" s="404" customFormat="1" x14ac:dyDescent="0.3">
      <c r="A190" s="404">
        <v>540</v>
      </c>
      <c r="B190" s="405">
        <v>540</v>
      </c>
      <c r="C190" s="404">
        <v>540</v>
      </c>
      <c r="D190" s="404" t="s">
        <v>1775</v>
      </c>
      <c r="E190" s="404" t="s">
        <v>506</v>
      </c>
      <c r="F190" s="404">
        <v>111300</v>
      </c>
      <c r="G190" s="404">
        <v>2091800</v>
      </c>
      <c r="H190" s="404">
        <v>0</v>
      </c>
      <c r="I190" s="404">
        <v>0</v>
      </c>
      <c r="J190" s="404">
        <v>24000</v>
      </c>
      <c r="K190" s="404">
        <v>74798</v>
      </c>
      <c r="L190" s="404">
        <v>1048000</v>
      </c>
      <c r="M190" s="404">
        <v>230752</v>
      </c>
      <c r="N190" s="404">
        <v>0</v>
      </c>
      <c r="O190" s="404">
        <v>0</v>
      </c>
      <c r="P190" s="404">
        <v>0</v>
      </c>
      <c r="Q190" s="404">
        <v>0</v>
      </c>
      <c r="R190" s="404">
        <v>0</v>
      </c>
      <c r="S190" s="404">
        <v>0</v>
      </c>
      <c r="T190" s="404">
        <v>868975</v>
      </c>
      <c r="U190" s="404">
        <v>0</v>
      </c>
      <c r="V190" s="404">
        <v>0</v>
      </c>
      <c r="W190" s="404">
        <v>378472</v>
      </c>
      <c r="X190" s="404">
        <v>0</v>
      </c>
      <c r="Y190" s="404">
        <v>281366</v>
      </c>
      <c r="Z190" s="404">
        <v>509810</v>
      </c>
      <c r="AA190" s="404">
        <v>0</v>
      </c>
      <c r="AB190" s="404">
        <v>741680</v>
      </c>
      <c r="AC190" s="404">
        <v>0</v>
      </c>
      <c r="AD190" s="404">
        <v>0</v>
      </c>
      <c r="AE190" s="404">
        <v>0</v>
      </c>
      <c r="AF190" s="404">
        <v>325000</v>
      </c>
      <c r="AG190" s="404">
        <v>0</v>
      </c>
      <c r="AH190" s="404">
        <v>287000</v>
      </c>
      <c r="AI190" s="404">
        <v>300000</v>
      </c>
      <c r="AJ190" s="404">
        <v>0</v>
      </c>
      <c r="AK190" s="404">
        <v>0</v>
      </c>
      <c r="AL190" s="404">
        <v>0</v>
      </c>
      <c r="AM190" s="404">
        <v>111037</v>
      </c>
      <c r="AN190" s="404">
        <v>0</v>
      </c>
      <c r="AO190" s="404">
        <v>49320</v>
      </c>
      <c r="AP190" s="404">
        <v>0</v>
      </c>
      <c r="AQ190" s="404">
        <v>0</v>
      </c>
      <c r="AR190" s="404">
        <v>0</v>
      </c>
      <c r="AS190" s="404">
        <v>0</v>
      </c>
      <c r="AT190" s="404">
        <v>128011</v>
      </c>
      <c r="AU190" s="404">
        <v>167010</v>
      </c>
      <c r="AV190" s="404">
        <v>0</v>
      </c>
      <c r="AW190" s="404">
        <v>14205</v>
      </c>
      <c r="AX190" s="404">
        <v>437429</v>
      </c>
      <c r="AY190" s="404">
        <v>67512</v>
      </c>
      <c r="AZ190" s="404">
        <v>812400</v>
      </c>
      <c r="BA190" s="404">
        <v>0</v>
      </c>
      <c r="BB190" s="404">
        <v>0</v>
      </c>
      <c r="BC190" s="404">
        <v>0</v>
      </c>
      <c r="BD190" s="404">
        <v>0</v>
      </c>
      <c r="BE190" s="404">
        <v>0</v>
      </c>
      <c r="BF190" s="404">
        <v>25000</v>
      </c>
      <c r="BG190" s="404">
        <v>0</v>
      </c>
      <c r="BH190" s="404">
        <v>0</v>
      </c>
      <c r="BI190" s="404">
        <v>0</v>
      </c>
      <c r="BJ190" s="404">
        <v>0</v>
      </c>
      <c r="BK190" s="404">
        <v>0</v>
      </c>
      <c r="BL190" s="404">
        <v>0</v>
      </c>
      <c r="BM190" s="404">
        <v>1450910</v>
      </c>
      <c r="BN190" s="404">
        <v>238220</v>
      </c>
      <c r="BO190" s="404">
        <v>0</v>
      </c>
      <c r="BP190" s="404">
        <v>0</v>
      </c>
      <c r="BQ190" s="404">
        <v>0</v>
      </c>
      <c r="BR190" s="404">
        <v>744618</v>
      </c>
      <c r="BS190" s="404">
        <v>0</v>
      </c>
      <c r="BT190" s="404">
        <v>0</v>
      </c>
      <c r="BU190" s="404">
        <v>10000</v>
      </c>
      <c r="BV190" s="404">
        <v>0</v>
      </c>
      <c r="BW190" s="404">
        <v>0</v>
      </c>
      <c r="BX190" s="404">
        <v>117764</v>
      </c>
      <c r="BY190" s="404">
        <v>320000</v>
      </c>
      <c r="BZ190" s="404">
        <v>0</v>
      </c>
      <c r="CA190" s="404">
        <v>0</v>
      </c>
      <c r="CB190" s="404">
        <v>77000</v>
      </c>
      <c r="CC190" s="404">
        <v>3376519</v>
      </c>
      <c r="CD190" s="404">
        <v>6047230</v>
      </c>
      <c r="CE190" s="404">
        <v>0</v>
      </c>
      <c r="CF190" s="404">
        <v>0</v>
      </c>
      <c r="CG190" s="404">
        <v>0</v>
      </c>
      <c r="CH190" s="404">
        <v>0</v>
      </c>
      <c r="CI190" s="404">
        <v>5430000</v>
      </c>
      <c r="CJ190" s="404">
        <v>130021</v>
      </c>
      <c r="CK190" s="404">
        <v>0</v>
      </c>
      <c r="CL190" s="404">
        <v>0</v>
      </c>
      <c r="CM190" s="404">
        <v>0</v>
      </c>
      <c r="CN190" s="404">
        <v>0</v>
      </c>
      <c r="CO190" s="404">
        <v>0</v>
      </c>
      <c r="CP190" s="404">
        <v>0</v>
      </c>
      <c r="CQ190" s="404">
        <v>0</v>
      </c>
      <c r="CR190" s="404">
        <v>1910000</v>
      </c>
    </row>
    <row r="191" spans="1:96" s="404" customFormat="1" x14ac:dyDescent="0.3">
      <c r="A191" s="404">
        <v>541</v>
      </c>
      <c r="B191" s="405">
        <v>541</v>
      </c>
      <c r="C191" s="404">
        <v>541</v>
      </c>
      <c r="D191" s="404" t="s">
        <v>1776</v>
      </c>
      <c r="E191" s="404" t="s">
        <v>507</v>
      </c>
      <c r="F191" s="404">
        <v>0</v>
      </c>
      <c r="G191" s="404">
        <v>0</v>
      </c>
      <c r="H191" s="404">
        <v>144373</v>
      </c>
      <c r="I191" s="404">
        <v>-113008</v>
      </c>
      <c r="J191" s="404">
        <v>179111</v>
      </c>
      <c r="K191" s="404">
        <v>-5137</v>
      </c>
      <c r="L191" s="404">
        <v>-720647</v>
      </c>
      <c r="M191" s="404">
        <v>-15157</v>
      </c>
      <c r="N191" s="404">
        <v>0</v>
      </c>
      <c r="O191" s="404">
        <v>29328</v>
      </c>
      <c r="P191" s="404">
        <v>-99681</v>
      </c>
      <c r="Q191" s="404">
        <v>0</v>
      </c>
      <c r="R191" s="404">
        <v>-13503</v>
      </c>
      <c r="S191" s="404">
        <v>0</v>
      </c>
      <c r="T191" s="404">
        <v>0</v>
      </c>
      <c r="U191" s="404">
        <v>0</v>
      </c>
      <c r="V191" s="404">
        <v>235389</v>
      </c>
      <c r="W191" s="404">
        <v>0</v>
      </c>
      <c r="X191" s="404">
        <v>125149</v>
      </c>
      <c r="Y191" s="404">
        <v>0</v>
      </c>
      <c r="Z191" s="404">
        <v>61345</v>
      </c>
      <c r="AA191" s="404">
        <v>0</v>
      </c>
      <c r="AB191" s="404">
        <v>-303698</v>
      </c>
      <c r="AC191" s="404">
        <v>-33178</v>
      </c>
      <c r="AD191" s="404">
        <v>13559</v>
      </c>
      <c r="AE191" s="404">
        <v>12065</v>
      </c>
      <c r="AF191" s="404">
        <v>1075652</v>
      </c>
      <c r="AG191" s="404">
        <v>0</v>
      </c>
      <c r="AH191" s="404">
        <v>-89144</v>
      </c>
      <c r="AI191" s="404">
        <v>0</v>
      </c>
      <c r="AJ191" s="404">
        <v>38533</v>
      </c>
      <c r="AK191" s="404">
        <v>-1510500</v>
      </c>
      <c r="AL191" s="404">
        <v>700849</v>
      </c>
      <c r="AM191" s="404">
        <v>18544</v>
      </c>
      <c r="AN191" s="404">
        <v>-242268</v>
      </c>
      <c r="AO191" s="404">
        <v>-2545</v>
      </c>
      <c r="AP191" s="404">
        <v>0</v>
      </c>
      <c r="AQ191" s="404">
        <v>193928</v>
      </c>
      <c r="AR191" s="404">
        <v>0</v>
      </c>
      <c r="AS191" s="404">
        <v>0</v>
      </c>
      <c r="AT191" s="404">
        <v>0</v>
      </c>
      <c r="AU191" s="404">
        <v>0</v>
      </c>
      <c r="AV191" s="404">
        <v>0</v>
      </c>
      <c r="AW191" s="404">
        <v>-70656</v>
      </c>
      <c r="AX191" s="404">
        <v>283608</v>
      </c>
      <c r="AY191" s="404">
        <v>48375</v>
      </c>
      <c r="AZ191" s="404">
        <v>0</v>
      </c>
      <c r="BA191" s="404">
        <v>0</v>
      </c>
      <c r="BB191" s="404">
        <v>-75472</v>
      </c>
      <c r="BC191" s="404">
        <v>0</v>
      </c>
      <c r="BD191" s="404">
        <v>205216</v>
      </c>
      <c r="BE191" s="404">
        <v>101622</v>
      </c>
      <c r="BF191" s="404">
        <v>20523</v>
      </c>
      <c r="BG191" s="404">
        <v>-18143</v>
      </c>
      <c r="BH191" s="404">
        <v>250812</v>
      </c>
      <c r="BI191" s="404">
        <v>676229</v>
      </c>
      <c r="BJ191" s="404">
        <v>0</v>
      </c>
      <c r="BK191" s="404">
        <v>0</v>
      </c>
      <c r="BL191" s="404">
        <v>0</v>
      </c>
      <c r="BM191" s="404">
        <v>-56735</v>
      </c>
      <c r="BN191" s="404">
        <v>354062</v>
      </c>
      <c r="BO191" s="404">
        <v>0</v>
      </c>
      <c r="BP191" s="404">
        <v>0</v>
      </c>
      <c r="BQ191" s="404">
        <v>260622</v>
      </c>
      <c r="BR191" s="404">
        <v>0</v>
      </c>
      <c r="BS191" s="404">
        <v>0</v>
      </c>
      <c r="BT191" s="404">
        <v>0</v>
      </c>
      <c r="BU191" s="404">
        <v>-84608</v>
      </c>
      <c r="BV191" s="404">
        <v>0</v>
      </c>
      <c r="BW191" s="404">
        <v>0</v>
      </c>
      <c r="BX191" s="404">
        <v>423045</v>
      </c>
      <c r="BY191" s="404">
        <v>-388974</v>
      </c>
      <c r="BZ191" s="404">
        <v>8124</v>
      </c>
      <c r="CA191" s="404">
        <v>0</v>
      </c>
      <c r="CB191" s="404">
        <v>7884</v>
      </c>
      <c r="CC191" s="404">
        <v>0</v>
      </c>
      <c r="CD191" s="404">
        <v>4319378</v>
      </c>
      <c r="CE191" s="404">
        <v>19802</v>
      </c>
      <c r="CF191" s="404">
        <v>36635</v>
      </c>
      <c r="CG191" s="404">
        <v>-16963</v>
      </c>
      <c r="CH191" s="404">
        <v>222325</v>
      </c>
      <c r="CI191" s="404">
        <v>32262963</v>
      </c>
      <c r="CJ191" s="404">
        <v>543849</v>
      </c>
      <c r="CK191" s="404">
        <v>66528</v>
      </c>
      <c r="CL191" s="404">
        <v>0</v>
      </c>
      <c r="CM191" s="404">
        <v>124498</v>
      </c>
      <c r="CN191" s="404">
        <v>704169</v>
      </c>
      <c r="CO191" s="404">
        <v>238978</v>
      </c>
      <c r="CP191" s="404">
        <v>113379</v>
      </c>
      <c r="CQ191" s="404">
        <v>0</v>
      </c>
      <c r="CR191" s="404">
        <v>0</v>
      </c>
    </row>
    <row r="192" spans="1:96" s="404" customFormat="1" x14ac:dyDescent="0.3">
      <c r="A192" s="404">
        <v>542</v>
      </c>
      <c r="B192" s="405">
        <v>542</v>
      </c>
      <c r="C192" s="404">
        <v>542</v>
      </c>
      <c r="D192" s="404" t="s">
        <v>1777</v>
      </c>
      <c r="E192" s="404" t="s">
        <v>508</v>
      </c>
      <c r="F192" s="404">
        <v>0</v>
      </c>
      <c r="G192" s="404">
        <v>0</v>
      </c>
      <c r="H192" s="404">
        <v>0</v>
      </c>
      <c r="I192" s="404">
        <v>0</v>
      </c>
      <c r="J192" s="404">
        <v>0</v>
      </c>
      <c r="K192" s="404">
        <v>27267</v>
      </c>
      <c r="L192" s="404">
        <v>0</v>
      </c>
      <c r="M192" s="404">
        <v>0</v>
      </c>
      <c r="N192" s="404">
        <v>0</v>
      </c>
      <c r="O192" s="404">
        <v>0</v>
      </c>
      <c r="P192" s="404">
        <v>0</v>
      </c>
      <c r="Q192" s="404">
        <v>0</v>
      </c>
      <c r="R192" s="404">
        <v>0</v>
      </c>
      <c r="S192" s="404">
        <v>0</v>
      </c>
      <c r="T192" s="404">
        <v>0</v>
      </c>
      <c r="U192" s="404">
        <v>0</v>
      </c>
      <c r="V192" s="404">
        <v>0</v>
      </c>
      <c r="W192" s="404">
        <v>0</v>
      </c>
      <c r="X192" s="404">
        <v>0</v>
      </c>
      <c r="Y192" s="404">
        <v>0</v>
      </c>
      <c r="Z192" s="404">
        <v>53050</v>
      </c>
      <c r="AA192" s="404">
        <v>0</v>
      </c>
      <c r="AB192" s="404">
        <v>0</v>
      </c>
      <c r="AC192" s="404">
        <v>0</v>
      </c>
      <c r="AD192" s="404">
        <v>0</v>
      </c>
      <c r="AE192" s="404">
        <v>0</v>
      </c>
      <c r="AF192" s="404">
        <v>720000</v>
      </c>
      <c r="AG192" s="404">
        <v>0</v>
      </c>
      <c r="AH192" s="404">
        <v>0</v>
      </c>
      <c r="AI192" s="404">
        <v>0</v>
      </c>
      <c r="AJ192" s="404">
        <v>0</v>
      </c>
      <c r="AK192" s="404">
        <v>0</v>
      </c>
      <c r="AL192" s="404">
        <v>0</v>
      </c>
      <c r="AM192" s="404">
        <v>0</v>
      </c>
      <c r="AN192" s="404">
        <v>0</v>
      </c>
      <c r="AO192" s="404">
        <v>0</v>
      </c>
      <c r="AP192" s="404">
        <v>0</v>
      </c>
      <c r="AQ192" s="404">
        <v>0</v>
      </c>
      <c r="AR192" s="404">
        <v>0</v>
      </c>
      <c r="AS192" s="404">
        <v>0</v>
      </c>
      <c r="AT192" s="404">
        <v>0</v>
      </c>
      <c r="AU192" s="404">
        <v>0</v>
      </c>
      <c r="AV192" s="404">
        <v>0</v>
      </c>
      <c r="AW192" s="404">
        <v>30122</v>
      </c>
      <c r="AX192" s="404">
        <v>0</v>
      </c>
      <c r="AY192" s="404">
        <v>17441</v>
      </c>
      <c r="AZ192" s="404">
        <v>0</v>
      </c>
      <c r="BA192" s="404">
        <v>0</v>
      </c>
      <c r="BB192" s="404">
        <v>0</v>
      </c>
      <c r="BC192" s="404">
        <v>0</v>
      </c>
      <c r="BD192" s="404">
        <v>0</v>
      </c>
      <c r="BE192" s="404">
        <v>0</v>
      </c>
      <c r="BF192" s="404">
        <v>0</v>
      </c>
      <c r="BG192" s="404">
        <v>0</v>
      </c>
      <c r="BH192" s="404">
        <v>0</v>
      </c>
      <c r="BI192" s="404">
        <v>988750</v>
      </c>
      <c r="BJ192" s="404">
        <v>0</v>
      </c>
      <c r="BK192" s="404">
        <v>0</v>
      </c>
      <c r="BL192" s="404">
        <v>0</v>
      </c>
      <c r="BM192" s="404">
        <v>419145</v>
      </c>
      <c r="BN192" s="404">
        <v>0</v>
      </c>
      <c r="BO192" s="404">
        <v>0</v>
      </c>
      <c r="BP192" s="404">
        <v>0</v>
      </c>
      <c r="BQ192" s="404">
        <v>0</v>
      </c>
      <c r="BR192" s="404">
        <v>0</v>
      </c>
      <c r="BS192" s="404">
        <v>0</v>
      </c>
      <c r="BT192" s="404">
        <v>0</v>
      </c>
      <c r="BU192" s="404">
        <v>250000</v>
      </c>
      <c r="BV192" s="404">
        <v>0</v>
      </c>
      <c r="BW192" s="404">
        <v>0</v>
      </c>
      <c r="BX192" s="404">
        <v>0</v>
      </c>
      <c r="BY192" s="404">
        <v>102447</v>
      </c>
      <c r="BZ192" s="404">
        <v>0</v>
      </c>
      <c r="CA192" s="404">
        <v>0</v>
      </c>
      <c r="CB192" s="404">
        <v>0</v>
      </c>
      <c r="CC192" s="404">
        <v>0</v>
      </c>
      <c r="CD192" s="404">
        <v>1045370</v>
      </c>
      <c r="CE192" s="404">
        <v>0</v>
      </c>
      <c r="CF192" s="404">
        <v>0</v>
      </c>
      <c r="CG192" s="404">
        <v>0</v>
      </c>
      <c r="CH192" s="404">
        <v>0</v>
      </c>
      <c r="CI192" s="404">
        <v>0</v>
      </c>
      <c r="CJ192" s="404">
        <v>0</v>
      </c>
      <c r="CK192" s="404">
        <v>0</v>
      </c>
      <c r="CL192" s="404">
        <v>0</v>
      </c>
      <c r="CM192" s="404">
        <v>0</v>
      </c>
      <c r="CN192" s="404">
        <v>0</v>
      </c>
      <c r="CO192" s="404">
        <v>0</v>
      </c>
      <c r="CP192" s="404">
        <v>65000</v>
      </c>
      <c r="CQ192" s="404">
        <v>0</v>
      </c>
      <c r="CR192" s="404">
        <v>0</v>
      </c>
    </row>
    <row r="193" spans="1:96" s="404" customFormat="1" x14ac:dyDescent="0.3">
      <c r="A193" s="404">
        <v>543</v>
      </c>
      <c r="B193" s="405"/>
      <c r="C193" s="404">
        <v>543</v>
      </c>
      <c r="D193" s="404" t="s">
        <v>1778</v>
      </c>
      <c r="E193" s="404" t="s">
        <v>509</v>
      </c>
      <c r="F193" s="404">
        <v>0</v>
      </c>
      <c r="G193" s="404">
        <v>0</v>
      </c>
      <c r="H193" s="404">
        <v>0</v>
      </c>
      <c r="I193" s="404">
        <v>0</v>
      </c>
      <c r="J193" s="404">
        <v>0</v>
      </c>
      <c r="K193" s="404">
        <v>0</v>
      </c>
      <c r="L193" s="404">
        <v>0</v>
      </c>
      <c r="M193" s="404">
        <v>0</v>
      </c>
      <c r="N193" s="404">
        <v>0</v>
      </c>
      <c r="O193" s="404">
        <v>0</v>
      </c>
      <c r="P193" s="404">
        <v>0</v>
      </c>
      <c r="Q193" s="404">
        <v>0</v>
      </c>
      <c r="R193" s="404">
        <v>0</v>
      </c>
      <c r="S193" s="404">
        <v>0</v>
      </c>
      <c r="T193" s="404">
        <v>0</v>
      </c>
      <c r="U193" s="404">
        <v>0</v>
      </c>
      <c r="V193" s="404">
        <v>0</v>
      </c>
      <c r="W193" s="404">
        <v>0</v>
      </c>
      <c r="X193" s="404">
        <v>0</v>
      </c>
      <c r="Y193" s="404">
        <v>0</v>
      </c>
      <c r="Z193" s="404">
        <v>0</v>
      </c>
      <c r="AA193" s="404">
        <v>0</v>
      </c>
      <c r="AB193" s="404">
        <v>0</v>
      </c>
      <c r="AC193" s="404">
        <v>0</v>
      </c>
      <c r="AD193" s="404">
        <v>0</v>
      </c>
      <c r="AE193" s="404">
        <v>0</v>
      </c>
      <c r="AF193" s="404">
        <v>0</v>
      </c>
      <c r="AG193" s="404">
        <v>0</v>
      </c>
      <c r="AH193" s="404">
        <v>0</v>
      </c>
      <c r="AI193" s="404">
        <v>0</v>
      </c>
      <c r="AJ193" s="404">
        <v>0</v>
      </c>
      <c r="AK193" s="404">
        <v>0</v>
      </c>
      <c r="AL193" s="404">
        <v>0</v>
      </c>
      <c r="AM193" s="404">
        <v>0</v>
      </c>
      <c r="AN193" s="404">
        <v>0</v>
      </c>
      <c r="AO193" s="404">
        <v>0</v>
      </c>
      <c r="AP193" s="404">
        <v>0</v>
      </c>
      <c r="AQ193" s="404">
        <v>0</v>
      </c>
      <c r="AR193" s="404">
        <v>0</v>
      </c>
      <c r="AS193" s="404">
        <v>0</v>
      </c>
      <c r="AT193" s="404">
        <v>0</v>
      </c>
      <c r="AU193" s="404">
        <v>0</v>
      </c>
      <c r="AV193" s="404">
        <v>0</v>
      </c>
      <c r="AW193" s="404">
        <v>0</v>
      </c>
      <c r="AX193" s="404">
        <v>0</v>
      </c>
      <c r="AY193" s="404">
        <v>0</v>
      </c>
      <c r="AZ193" s="404">
        <v>0</v>
      </c>
      <c r="BA193" s="404">
        <v>0</v>
      </c>
      <c r="BB193" s="404">
        <v>0</v>
      </c>
      <c r="BC193" s="404">
        <v>0</v>
      </c>
      <c r="BD193" s="404">
        <v>0</v>
      </c>
      <c r="BE193" s="404">
        <v>0</v>
      </c>
      <c r="BF193" s="404">
        <v>0</v>
      </c>
      <c r="BG193" s="404">
        <v>0</v>
      </c>
      <c r="BH193" s="404">
        <v>0</v>
      </c>
      <c r="BI193" s="404">
        <v>0</v>
      </c>
      <c r="BJ193" s="404">
        <v>0</v>
      </c>
      <c r="BK193" s="404">
        <v>0</v>
      </c>
      <c r="BL193" s="404">
        <v>0</v>
      </c>
      <c r="BM193" s="404">
        <v>0</v>
      </c>
      <c r="BN193" s="404">
        <v>0</v>
      </c>
      <c r="BO193" s="404">
        <v>0</v>
      </c>
      <c r="BP193" s="404">
        <v>0</v>
      </c>
      <c r="BQ193" s="404">
        <v>0</v>
      </c>
      <c r="BR193" s="404">
        <v>0</v>
      </c>
      <c r="BS193" s="404">
        <v>0</v>
      </c>
      <c r="BT193" s="404">
        <v>0</v>
      </c>
      <c r="BU193" s="404">
        <v>0</v>
      </c>
      <c r="BV193" s="404">
        <v>0</v>
      </c>
      <c r="BW193" s="404">
        <v>0</v>
      </c>
      <c r="BX193" s="404">
        <v>0</v>
      </c>
      <c r="BY193" s="404">
        <v>0</v>
      </c>
      <c r="BZ193" s="404">
        <v>0</v>
      </c>
      <c r="CA193" s="404">
        <v>0</v>
      </c>
      <c r="CB193" s="404">
        <v>0</v>
      </c>
      <c r="CC193" s="404">
        <v>0</v>
      </c>
      <c r="CD193" s="404">
        <v>0</v>
      </c>
      <c r="CE193" s="404">
        <v>0</v>
      </c>
      <c r="CF193" s="404">
        <v>0</v>
      </c>
      <c r="CG193" s="404">
        <v>0</v>
      </c>
      <c r="CH193" s="404">
        <v>0</v>
      </c>
      <c r="CI193" s="404">
        <v>0</v>
      </c>
      <c r="CJ193" s="404">
        <v>0</v>
      </c>
      <c r="CK193" s="404">
        <v>0</v>
      </c>
      <c r="CL193" s="404">
        <v>0</v>
      </c>
      <c r="CM193" s="404">
        <v>0</v>
      </c>
      <c r="CN193" s="404">
        <v>0</v>
      </c>
      <c r="CO193" s="404">
        <v>0</v>
      </c>
      <c r="CP193" s="404">
        <v>0</v>
      </c>
      <c r="CQ193" s="404">
        <v>0</v>
      </c>
      <c r="CR193" s="404">
        <v>0</v>
      </c>
    </row>
    <row r="194" spans="1:96" s="404" customFormat="1" x14ac:dyDescent="0.3">
      <c r="A194" s="404">
        <v>544</v>
      </c>
      <c r="B194" s="405">
        <v>544</v>
      </c>
      <c r="C194" s="404">
        <v>544</v>
      </c>
      <c r="D194" s="404" t="s">
        <v>53</v>
      </c>
      <c r="E194" s="404" t="s">
        <v>510</v>
      </c>
      <c r="F194" s="404">
        <v>0</v>
      </c>
      <c r="G194" s="404">
        <v>0</v>
      </c>
      <c r="H194" s="404">
        <v>0</v>
      </c>
      <c r="I194" s="404">
        <v>0</v>
      </c>
      <c r="J194" s="404">
        <v>0</v>
      </c>
      <c r="K194" s="404">
        <v>0</v>
      </c>
      <c r="L194" s="404">
        <v>7.0000000000000007E-2</v>
      </c>
      <c r="M194" s="404">
        <v>0</v>
      </c>
      <c r="N194" s="404">
        <v>0</v>
      </c>
      <c r="O194" s="404">
        <v>0</v>
      </c>
      <c r="P194" s="404">
        <v>0</v>
      </c>
      <c r="Q194" s="404">
        <v>0</v>
      </c>
      <c r="R194" s="404">
        <v>0</v>
      </c>
      <c r="S194" s="404">
        <v>0</v>
      </c>
      <c r="T194" s="404">
        <v>0</v>
      </c>
      <c r="U194" s="404">
        <v>0</v>
      </c>
      <c r="V194" s="404">
        <v>0</v>
      </c>
      <c r="W194" s="404">
        <v>0</v>
      </c>
      <c r="X194" s="404">
        <v>0</v>
      </c>
      <c r="Y194" s="404">
        <v>0</v>
      </c>
      <c r="Z194" s="404">
        <v>0</v>
      </c>
      <c r="AA194" s="404">
        <v>0</v>
      </c>
      <c r="AB194" s="404">
        <v>0</v>
      </c>
      <c r="AC194" s="404">
        <v>0</v>
      </c>
      <c r="AD194" s="404">
        <v>0</v>
      </c>
      <c r="AE194" s="404">
        <v>0</v>
      </c>
      <c r="AF194" s="404">
        <v>0</v>
      </c>
      <c r="AG194" s="404">
        <v>0</v>
      </c>
      <c r="AH194" s="404">
        <v>0</v>
      </c>
      <c r="AI194" s="404">
        <v>0</v>
      </c>
      <c r="AJ194" s="404">
        <v>0</v>
      </c>
      <c r="AK194" s="404">
        <v>0</v>
      </c>
      <c r="AL194" s="404">
        <v>0</v>
      </c>
      <c r="AM194" s="404">
        <v>0</v>
      </c>
      <c r="AN194" s="404">
        <v>0</v>
      </c>
      <c r="AO194" s="404">
        <v>0</v>
      </c>
      <c r="AP194" s="404">
        <v>0</v>
      </c>
      <c r="AQ194" s="404">
        <v>0</v>
      </c>
      <c r="AR194" s="404">
        <v>0</v>
      </c>
      <c r="AS194" s="404">
        <v>0</v>
      </c>
      <c r="AT194" s="404">
        <v>0</v>
      </c>
      <c r="AU194" s="404">
        <v>0</v>
      </c>
      <c r="AV194" s="404">
        <v>0</v>
      </c>
      <c r="AW194" s="404">
        <v>0.01</v>
      </c>
      <c r="AX194" s="404">
        <v>0</v>
      </c>
      <c r="AY194" s="404">
        <v>0</v>
      </c>
      <c r="AZ194" s="404">
        <v>0</v>
      </c>
      <c r="BA194" s="404">
        <v>0</v>
      </c>
      <c r="BB194" s="404">
        <v>0</v>
      </c>
      <c r="BC194" s="404">
        <v>0</v>
      </c>
      <c r="BD194" s="404">
        <v>0</v>
      </c>
      <c r="BE194" s="404">
        <v>0</v>
      </c>
      <c r="BF194" s="404">
        <v>0</v>
      </c>
      <c r="BG194" s="404">
        <v>0</v>
      </c>
      <c r="BH194" s="404">
        <v>0</v>
      </c>
      <c r="BI194" s="404">
        <v>0</v>
      </c>
      <c r="BJ194" s="404">
        <v>0</v>
      </c>
      <c r="BK194" s="404">
        <v>0</v>
      </c>
      <c r="BL194" s="404">
        <v>0</v>
      </c>
      <c r="BM194" s="404">
        <v>0</v>
      </c>
      <c r="BN194" s="404">
        <v>0</v>
      </c>
      <c r="BO194" s="404">
        <v>0</v>
      </c>
      <c r="BP194" s="404">
        <v>0</v>
      </c>
      <c r="BQ194" s="404">
        <v>0</v>
      </c>
      <c r="BR194" s="404">
        <v>0</v>
      </c>
      <c r="BS194" s="404">
        <v>0</v>
      </c>
      <c r="BT194" s="404">
        <v>0</v>
      </c>
      <c r="BU194" s="404">
        <v>0</v>
      </c>
      <c r="BV194" s="404">
        <v>0</v>
      </c>
      <c r="BW194" s="404">
        <v>0</v>
      </c>
      <c r="BX194" s="404">
        <v>0</v>
      </c>
      <c r="BY194" s="404">
        <v>0</v>
      </c>
      <c r="BZ194" s="404">
        <v>0</v>
      </c>
      <c r="CA194" s="404">
        <v>0</v>
      </c>
      <c r="CB194" s="404">
        <v>0</v>
      </c>
      <c r="CC194" s="404">
        <v>0</v>
      </c>
      <c r="CD194" s="404">
        <v>0</v>
      </c>
      <c r="CE194" s="404">
        <v>0</v>
      </c>
      <c r="CF194" s="404">
        <v>0</v>
      </c>
      <c r="CG194" s="404">
        <v>0</v>
      </c>
      <c r="CH194" s="404">
        <v>0</v>
      </c>
      <c r="CI194" s="404">
        <v>4</v>
      </c>
      <c r="CJ194" s="404">
        <v>0</v>
      </c>
      <c r="CK194" s="404">
        <v>0</v>
      </c>
      <c r="CL194" s="404">
        <v>0</v>
      </c>
      <c r="CM194" s="404">
        <v>0</v>
      </c>
      <c r="CN194" s="404">
        <v>0</v>
      </c>
      <c r="CO194" s="404">
        <v>0</v>
      </c>
      <c r="CP194" s="404">
        <v>0</v>
      </c>
      <c r="CQ194" s="404">
        <v>0</v>
      </c>
      <c r="CR194" s="404">
        <v>0</v>
      </c>
    </row>
    <row r="195" spans="1:96" s="404" customFormat="1" x14ac:dyDescent="0.3">
      <c r="A195" s="404">
        <v>545</v>
      </c>
      <c r="B195" s="405">
        <v>545</v>
      </c>
      <c r="C195" s="404">
        <v>545</v>
      </c>
      <c r="D195" s="404" t="s">
        <v>54</v>
      </c>
      <c r="E195" s="404" t="s">
        <v>511</v>
      </c>
      <c r="F195" s="404">
        <v>0</v>
      </c>
      <c r="G195" s="404">
        <v>0</v>
      </c>
      <c r="H195" s="404">
        <v>0</v>
      </c>
      <c r="I195" s="404">
        <v>0</v>
      </c>
      <c r="J195" s="404">
        <v>0</v>
      </c>
      <c r="K195" s="404">
        <v>0</v>
      </c>
      <c r="L195" s="404">
        <v>0</v>
      </c>
      <c r="M195" s="404">
        <v>0</v>
      </c>
      <c r="N195" s="404">
        <v>0</v>
      </c>
      <c r="O195" s="404">
        <v>0</v>
      </c>
      <c r="P195" s="404">
        <v>0</v>
      </c>
      <c r="Q195" s="404">
        <v>0</v>
      </c>
      <c r="R195" s="404">
        <v>0</v>
      </c>
      <c r="S195" s="404">
        <v>0</v>
      </c>
      <c r="T195" s="404">
        <v>0</v>
      </c>
      <c r="U195" s="404">
        <v>0</v>
      </c>
      <c r="V195" s="404">
        <v>0</v>
      </c>
      <c r="W195" s="404">
        <v>0</v>
      </c>
      <c r="X195" s="404">
        <v>0</v>
      </c>
      <c r="Y195" s="404">
        <v>0</v>
      </c>
      <c r="Z195" s="404">
        <v>0</v>
      </c>
      <c r="AA195" s="404">
        <v>0</v>
      </c>
      <c r="AB195" s="404">
        <v>0</v>
      </c>
      <c r="AC195" s="404">
        <v>0</v>
      </c>
      <c r="AD195" s="404">
        <v>0</v>
      </c>
      <c r="AE195" s="404">
        <v>0</v>
      </c>
      <c r="AF195" s="404">
        <v>0</v>
      </c>
      <c r="AG195" s="404">
        <v>0</v>
      </c>
      <c r="AH195" s="404">
        <v>0</v>
      </c>
      <c r="AI195" s="404">
        <v>0</v>
      </c>
      <c r="AJ195" s="404">
        <v>0</v>
      </c>
      <c r="AK195" s="404">
        <v>0</v>
      </c>
      <c r="AL195" s="404">
        <v>0</v>
      </c>
      <c r="AM195" s="404">
        <v>0</v>
      </c>
      <c r="AN195" s="404">
        <v>0</v>
      </c>
      <c r="AO195" s="404">
        <v>0</v>
      </c>
      <c r="AP195" s="404">
        <v>0</v>
      </c>
      <c r="AQ195" s="404">
        <v>0</v>
      </c>
      <c r="AR195" s="404">
        <v>0</v>
      </c>
      <c r="AS195" s="404">
        <v>0</v>
      </c>
      <c r="AT195" s="404">
        <v>0</v>
      </c>
      <c r="AU195" s="404">
        <v>0</v>
      </c>
      <c r="AV195" s="404">
        <v>0</v>
      </c>
      <c r="AW195" s="404">
        <v>0</v>
      </c>
      <c r="AX195" s="404">
        <v>0</v>
      </c>
      <c r="AY195" s="404">
        <v>0</v>
      </c>
      <c r="AZ195" s="404">
        <v>0</v>
      </c>
      <c r="BA195" s="404">
        <v>0</v>
      </c>
      <c r="BB195" s="404">
        <v>0</v>
      </c>
      <c r="BC195" s="404">
        <v>0</v>
      </c>
      <c r="BD195" s="404">
        <v>0</v>
      </c>
      <c r="BE195" s="404">
        <v>0</v>
      </c>
      <c r="BF195" s="404">
        <v>0</v>
      </c>
      <c r="BG195" s="404">
        <v>0</v>
      </c>
      <c r="BH195" s="404">
        <v>0</v>
      </c>
      <c r="BI195" s="404">
        <v>0</v>
      </c>
      <c r="BJ195" s="404">
        <v>0</v>
      </c>
      <c r="BK195" s="404">
        <v>0</v>
      </c>
      <c r="BL195" s="404">
        <v>0</v>
      </c>
      <c r="BM195" s="404">
        <v>0</v>
      </c>
      <c r="BN195" s="404">
        <v>0</v>
      </c>
      <c r="BO195" s="404">
        <v>0.1</v>
      </c>
      <c r="BP195" s="404">
        <v>0</v>
      </c>
      <c r="BQ195" s="404">
        <v>0</v>
      </c>
      <c r="BR195" s="404">
        <v>0</v>
      </c>
      <c r="BS195" s="404">
        <v>0</v>
      </c>
      <c r="BT195" s="404">
        <v>0</v>
      </c>
      <c r="BU195" s="404">
        <v>0</v>
      </c>
      <c r="BV195" s="404">
        <v>0</v>
      </c>
      <c r="BW195" s="404">
        <v>0</v>
      </c>
      <c r="BX195" s="404">
        <v>0</v>
      </c>
      <c r="BY195" s="404">
        <v>0</v>
      </c>
      <c r="BZ195" s="404">
        <v>0</v>
      </c>
      <c r="CA195" s="404">
        <v>0</v>
      </c>
      <c r="CB195" s="404">
        <v>0.1</v>
      </c>
      <c r="CC195" s="404">
        <v>0</v>
      </c>
      <c r="CD195" s="404">
        <v>0</v>
      </c>
      <c r="CE195" s="404">
        <v>0</v>
      </c>
      <c r="CF195" s="404">
        <v>0</v>
      </c>
      <c r="CG195" s="404">
        <v>0</v>
      </c>
      <c r="CH195" s="404">
        <v>0</v>
      </c>
      <c r="CI195" s="404">
        <v>0</v>
      </c>
      <c r="CJ195" s="404">
        <v>0</v>
      </c>
      <c r="CK195" s="404">
        <v>0</v>
      </c>
      <c r="CL195" s="404">
        <v>5</v>
      </c>
      <c r="CM195" s="404">
        <v>0</v>
      </c>
      <c r="CN195" s="404">
        <v>0</v>
      </c>
      <c r="CO195" s="404">
        <v>0</v>
      </c>
      <c r="CP195" s="404">
        <v>0</v>
      </c>
      <c r="CQ195" s="404">
        <v>0</v>
      </c>
      <c r="CR195" s="404">
        <v>0</v>
      </c>
    </row>
    <row r="196" spans="1:96" s="404" customFormat="1" x14ac:dyDescent="0.3">
      <c r="A196" s="404">
        <v>546</v>
      </c>
      <c r="B196" s="405"/>
      <c r="C196" s="404">
        <v>546</v>
      </c>
      <c r="D196" s="404" t="s">
        <v>842</v>
      </c>
      <c r="E196" s="404" t="s">
        <v>512</v>
      </c>
    </row>
    <row r="197" spans="1:96" s="404" customFormat="1" x14ac:dyDescent="0.3">
      <c r="A197" s="404">
        <v>547</v>
      </c>
      <c r="B197" s="405">
        <v>547</v>
      </c>
      <c r="C197" s="404">
        <v>547</v>
      </c>
      <c r="D197" s="1126" t="s">
        <v>1779</v>
      </c>
      <c r="E197" s="404" t="s">
        <v>513</v>
      </c>
      <c r="F197" s="404">
        <v>2</v>
      </c>
      <c r="G197" s="404">
        <v>2</v>
      </c>
      <c r="H197" s="404">
        <v>2</v>
      </c>
      <c r="I197" s="404">
        <v>3</v>
      </c>
      <c r="J197" s="404">
        <v>1</v>
      </c>
      <c r="K197" s="404">
        <v>2</v>
      </c>
      <c r="L197" s="404">
        <v>1</v>
      </c>
      <c r="M197" s="404">
        <v>3</v>
      </c>
      <c r="N197" s="404">
        <v>2</v>
      </c>
      <c r="O197" s="404">
        <v>2</v>
      </c>
      <c r="P197" s="404">
        <v>2</v>
      </c>
      <c r="Q197" s="404">
        <v>2</v>
      </c>
      <c r="R197" s="404">
        <v>2</v>
      </c>
      <c r="S197" s="404">
        <v>2</v>
      </c>
      <c r="T197" s="404">
        <v>2</v>
      </c>
      <c r="U197" s="404">
        <v>4</v>
      </c>
      <c r="V197" s="404">
        <v>2</v>
      </c>
      <c r="W197" s="404">
        <v>3</v>
      </c>
      <c r="X197" s="404">
        <v>2</v>
      </c>
      <c r="Y197" s="404">
        <v>3</v>
      </c>
      <c r="Z197" s="404">
        <v>2</v>
      </c>
      <c r="AA197" s="404">
        <v>2</v>
      </c>
      <c r="AB197" s="404">
        <v>3</v>
      </c>
      <c r="AC197" s="404">
        <v>2</v>
      </c>
      <c r="AD197" s="404">
        <v>2</v>
      </c>
      <c r="AE197" s="404">
        <v>2</v>
      </c>
      <c r="AF197" s="404">
        <v>3</v>
      </c>
      <c r="AG197" s="404">
        <v>2</v>
      </c>
      <c r="AH197" s="404">
        <v>3</v>
      </c>
      <c r="AI197" s="404">
        <v>2</v>
      </c>
      <c r="AJ197" s="404">
        <v>2</v>
      </c>
      <c r="AK197" s="404">
        <v>2</v>
      </c>
      <c r="AL197" s="404">
        <v>3</v>
      </c>
      <c r="AM197" s="404">
        <v>2</v>
      </c>
      <c r="AN197" s="404">
        <v>2</v>
      </c>
      <c r="AO197" s="404">
        <v>2</v>
      </c>
      <c r="AP197" s="404">
        <v>2</v>
      </c>
      <c r="AQ197" s="404">
        <v>3</v>
      </c>
      <c r="AR197" s="404">
        <v>0</v>
      </c>
      <c r="AS197" s="404">
        <v>2</v>
      </c>
      <c r="AT197" s="404">
        <v>2</v>
      </c>
      <c r="AU197" s="404">
        <v>2</v>
      </c>
      <c r="AV197" s="404">
        <v>2</v>
      </c>
      <c r="AW197" s="404">
        <v>3</v>
      </c>
      <c r="AX197" s="404">
        <v>3</v>
      </c>
      <c r="AY197" s="404">
        <v>2</v>
      </c>
      <c r="AZ197" s="404">
        <v>3</v>
      </c>
      <c r="BA197" s="404">
        <v>2</v>
      </c>
      <c r="BB197" s="404">
        <v>2</v>
      </c>
      <c r="BC197" s="404">
        <v>2</v>
      </c>
      <c r="BD197" s="404">
        <v>2</v>
      </c>
      <c r="BE197" s="404">
        <v>2</v>
      </c>
      <c r="BF197" s="404">
        <v>2</v>
      </c>
      <c r="BG197" s="404">
        <v>2</v>
      </c>
      <c r="BH197" s="404">
        <v>1</v>
      </c>
      <c r="BI197" s="404">
        <v>3</v>
      </c>
      <c r="BJ197" s="404">
        <v>2</v>
      </c>
      <c r="BK197" s="404">
        <v>2</v>
      </c>
      <c r="BL197" s="404">
        <v>2</v>
      </c>
      <c r="BM197" s="404">
        <v>3</v>
      </c>
      <c r="BN197" s="404">
        <v>3</v>
      </c>
      <c r="BO197" s="404">
        <v>2</v>
      </c>
      <c r="BP197" s="404">
        <v>2</v>
      </c>
      <c r="BQ197" s="404">
        <v>3</v>
      </c>
      <c r="BR197" s="404">
        <v>1</v>
      </c>
      <c r="BS197" s="404">
        <v>2</v>
      </c>
      <c r="BT197" s="404">
        <v>2</v>
      </c>
      <c r="BU197" s="404">
        <v>2</v>
      </c>
      <c r="BV197" s="404">
        <v>2</v>
      </c>
      <c r="BW197" s="404">
        <v>0</v>
      </c>
      <c r="BX197" s="404">
        <v>2</v>
      </c>
      <c r="BY197" s="404">
        <v>3</v>
      </c>
      <c r="BZ197" s="404">
        <v>2</v>
      </c>
      <c r="CA197" s="404">
        <v>0</v>
      </c>
      <c r="CB197" s="404">
        <v>3</v>
      </c>
      <c r="CC197" s="404">
        <v>3</v>
      </c>
      <c r="CD197" s="404">
        <v>3</v>
      </c>
      <c r="CE197" s="404">
        <v>2</v>
      </c>
      <c r="CF197" s="404">
        <v>3</v>
      </c>
      <c r="CG197" s="404">
        <v>2</v>
      </c>
      <c r="CH197" s="404">
        <v>2</v>
      </c>
      <c r="CI197" s="404">
        <v>3</v>
      </c>
      <c r="CJ197" s="404">
        <v>3</v>
      </c>
      <c r="CK197" s="404">
        <v>2</v>
      </c>
      <c r="CL197" s="404">
        <v>3</v>
      </c>
      <c r="CM197" s="404">
        <v>2</v>
      </c>
      <c r="CN197" s="404">
        <v>3</v>
      </c>
      <c r="CO197" s="404">
        <v>2</v>
      </c>
      <c r="CP197" s="404">
        <v>2</v>
      </c>
      <c r="CQ197" s="404">
        <v>2</v>
      </c>
      <c r="CR197" s="404">
        <v>3</v>
      </c>
    </row>
    <row r="198" spans="1:96" s="404" customFormat="1" x14ac:dyDescent="0.3">
      <c r="A198" s="404">
        <v>548</v>
      </c>
      <c r="B198" s="405"/>
      <c r="C198" s="404">
        <v>548</v>
      </c>
      <c r="D198" s="404" t="s">
        <v>539</v>
      </c>
      <c r="E198" s="404" t="s">
        <v>569</v>
      </c>
      <c r="F198" s="404">
        <v>0</v>
      </c>
      <c r="G198" s="404">
        <v>0</v>
      </c>
      <c r="H198" s="404">
        <v>0</v>
      </c>
      <c r="I198" s="404">
        <v>0</v>
      </c>
      <c r="J198" s="404">
        <v>0</v>
      </c>
      <c r="K198" s="404">
        <v>0</v>
      </c>
      <c r="L198" s="404">
        <v>0</v>
      </c>
      <c r="M198" s="404">
        <v>0</v>
      </c>
      <c r="N198" s="404">
        <v>0</v>
      </c>
      <c r="O198" s="404">
        <v>0</v>
      </c>
      <c r="P198" s="404">
        <v>0</v>
      </c>
      <c r="Q198" s="404">
        <v>0</v>
      </c>
      <c r="R198" s="404">
        <v>0</v>
      </c>
      <c r="S198" s="404">
        <v>0</v>
      </c>
      <c r="T198" s="404">
        <v>0</v>
      </c>
      <c r="U198" s="404">
        <v>0</v>
      </c>
      <c r="V198" s="404">
        <v>0</v>
      </c>
      <c r="W198" s="404">
        <v>0</v>
      </c>
      <c r="X198" s="404">
        <v>0</v>
      </c>
      <c r="Y198" s="404">
        <v>0</v>
      </c>
      <c r="Z198" s="404">
        <v>0</v>
      </c>
      <c r="AA198" s="404">
        <v>0</v>
      </c>
      <c r="AB198" s="404">
        <v>0</v>
      </c>
      <c r="AC198" s="404">
        <v>0</v>
      </c>
      <c r="AD198" s="404">
        <v>0</v>
      </c>
      <c r="AE198" s="404">
        <v>0</v>
      </c>
      <c r="AF198" s="404">
        <v>0</v>
      </c>
      <c r="AG198" s="404">
        <v>0</v>
      </c>
      <c r="AH198" s="404">
        <v>0</v>
      </c>
      <c r="AI198" s="404">
        <v>0</v>
      </c>
      <c r="AJ198" s="404">
        <v>0</v>
      </c>
      <c r="AK198" s="404">
        <v>0</v>
      </c>
      <c r="AL198" s="404">
        <v>0</v>
      </c>
      <c r="AM198" s="404">
        <v>0</v>
      </c>
      <c r="AN198" s="404">
        <v>0</v>
      </c>
      <c r="AO198" s="404">
        <v>0</v>
      </c>
      <c r="AP198" s="404">
        <v>0</v>
      </c>
      <c r="AQ198" s="404">
        <v>0</v>
      </c>
      <c r="AR198" s="404">
        <v>0</v>
      </c>
      <c r="AS198" s="404">
        <v>0</v>
      </c>
      <c r="AT198" s="404">
        <v>0</v>
      </c>
      <c r="AU198" s="404">
        <v>0</v>
      </c>
      <c r="AV198" s="404">
        <v>0</v>
      </c>
      <c r="AW198" s="404">
        <v>0</v>
      </c>
      <c r="AX198" s="404">
        <v>0</v>
      </c>
      <c r="AY198" s="404">
        <v>0</v>
      </c>
      <c r="AZ198" s="404">
        <v>0</v>
      </c>
      <c r="BA198" s="404">
        <v>0</v>
      </c>
      <c r="BB198" s="404">
        <v>0</v>
      </c>
      <c r="BC198" s="404">
        <v>0</v>
      </c>
      <c r="BD198" s="404">
        <v>0</v>
      </c>
      <c r="BE198" s="404">
        <v>0</v>
      </c>
      <c r="BF198" s="404">
        <v>0</v>
      </c>
      <c r="BG198" s="404">
        <v>0</v>
      </c>
      <c r="BH198" s="404">
        <v>0</v>
      </c>
      <c r="BI198" s="404">
        <v>0</v>
      </c>
      <c r="BJ198" s="404">
        <v>0</v>
      </c>
      <c r="BK198" s="404">
        <v>0</v>
      </c>
      <c r="BL198" s="404">
        <v>0</v>
      </c>
      <c r="BM198" s="404">
        <v>0</v>
      </c>
      <c r="BN198" s="404">
        <v>0</v>
      </c>
      <c r="BO198" s="404">
        <v>0</v>
      </c>
      <c r="BP198" s="404">
        <v>0</v>
      </c>
      <c r="BQ198" s="404">
        <v>0</v>
      </c>
      <c r="BR198" s="404">
        <v>0</v>
      </c>
      <c r="BS198" s="404">
        <v>0</v>
      </c>
      <c r="BT198" s="404">
        <v>0</v>
      </c>
      <c r="BU198" s="404">
        <v>0</v>
      </c>
      <c r="BV198" s="404">
        <v>0</v>
      </c>
      <c r="BW198" s="404">
        <v>0</v>
      </c>
      <c r="BX198" s="404">
        <v>0</v>
      </c>
      <c r="BY198" s="404">
        <v>0</v>
      </c>
      <c r="BZ198" s="404">
        <v>0</v>
      </c>
      <c r="CA198" s="404">
        <v>0</v>
      </c>
      <c r="CB198" s="404">
        <v>0</v>
      </c>
      <c r="CC198" s="404">
        <v>0</v>
      </c>
      <c r="CD198" s="404">
        <v>0</v>
      </c>
      <c r="CE198" s="404">
        <v>0</v>
      </c>
      <c r="CF198" s="404">
        <v>0</v>
      </c>
      <c r="CG198" s="404">
        <v>0</v>
      </c>
      <c r="CH198" s="404">
        <v>0</v>
      </c>
      <c r="CI198" s="404">
        <v>0</v>
      </c>
      <c r="CJ198" s="404">
        <v>0</v>
      </c>
      <c r="CK198" s="404">
        <v>0</v>
      </c>
      <c r="CL198" s="404">
        <v>0</v>
      </c>
      <c r="CM198" s="404">
        <v>0</v>
      </c>
      <c r="CN198" s="404">
        <v>0</v>
      </c>
      <c r="CO198" s="404">
        <v>0</v>
      </c>
      <c r="CP198" s="404">
        <v>0</v>
      </c>
      <c r="CQ198" s="404">
        <v>0</v>
      </c>
      <c r="CR198" s="404">
        <v>0</v>
      </c>
    </row>
    <row r="199" spans="1:96" s="404" customFormat="1" x14ac:dyDescent="0.3">
      <c r="A199" s="404">
        <v>549</v>
      </c>
      <c r="B199" s="405"/>
      <c r="C199" s="404">
        <v>549</v>
      </c>
      <c r="D199" s="404" t="s">
        <v>1780</v>
      </c>
      <c r="E199" s="404" t="s">
        <v>570</v>
      </c>
      <c r="F199" s="404">
        <v>0</v>
      </c>
      <c r="G199" s="404">
        <v>0</v>
      </c>
      <c r="H199" s="404">
        <v>0</v>
      </c>
      <c r="I199" s="404">
        <v>0</v>
      </c>
      <c r="J199" s="404">
        <v>0</v>
      </c>
      <c r="K199" s="404">
        <v>0</v>
      </c>
      <c r="L199" s="404">
        <v>0</v>
      </c>
      <c r="M199" s="404">
        <v>0</v>
      </c>
      <c r="N199" s="404">
        <v>0</v>
      </c>
      <c r="O199" s="404">
        <v>0</v>
      </c>
      <c r="P199" s="404">
        <v>0</v>
      </c>
      <c r="Q199" s="404">
        <v>0</v>
      </c>
      <c r="R199" s="404">
        <v>0</v>
      </c>
      <c r="S199" s="404">
        <v>0</v>
      </c>
      <c r="T199" s="404">
        <v>0</v>
      </c>
      <c r="U199" s="404">
        <v>0</v>
      </c>
      <c r="V199" s="404">
        <v>0</v>
      </c>
      <c r="W199" s="404">
        <v>0</v>
      </c>
      <c r="X199" s="404">
        <v>0</v>
      </c>
      <c r="Y199" s="404">
        <v>0</v>
      </c>
      <c r="Z199" s="404">
        <v>0</v>
      </c>
      <c r="AA199" s="404">
        <v>0</v>
      </c>
      <c r="AB199" s="404">
        <v>0</v>
      </c>
      <c r="AC199" s="404">
        <v>0</v>
      </c>
      <c r="AD199" s="404">
        <v>0</v>
      </c>
      <c r="AE199" s="404">
        <v>0</v>
      </c>
      <c r="AF199" s="404">
        <v>0</v>
      </c>
      <c r="AG199" s="404">
        <v>0</v>
      </c>
      <c r="AH199" s="404">
        <v>0</v>
      </c>
      <c r="AI199" s="404">
        <v>0</v>
      </c>
      <c r="AJ199" s="404">
        <v>0</v>
      </c>
      <c r="AK199" s="404">
        <v>0</v>
      </c>
      <c r="AL199" s="404">
        <v>0</v>
      </c>
      <c r="AM199" s="404">
        <v>0</v>
      </c>
      <c r="AN199" s="404">
        <v>0</v>
      </c>
      <c r="AO199" s="404">
        <v>0</v>
      </c>
      <c r="AP199" s="404">
        <v>0</v>
      </c>
      <c r="AQ199" s="404">
        <v>0</v>
      </c>
      <c r="AR199" s="404">
        <v>0</v>
      </c>
      <c r="AS199" s="404">
        <v>0</v>
      </c>
      <c r="AT199" s="404">
        <v>0</v>
      </c>
      <c r="AU199" s="404">
        <v>0</v>
      </c>
      <c r="AV199" s="404">
        <v>0</v>
      </c>
      <c r="AW199" s="404">
        <v>0</v>
      </c>
      <c r="AX199" s="404">
        <v>0</v>
      </c>
      <c r="AY199" s="404">
        <v>0</v>
      </c>
      <c r="AZ199" s="404">
        <v>0</v>
      </c>
      <c r="BA199" s="404">
        <v>0</v>
      </c>
      <c r="BB199" s="404">
        <v>0</v>
      </c>
      <c r="BC199" s="404">
        <v>0</v>
      </c>
      <c r="BD199" s="404">
        <v>0</v>
      </c>
      <c r="BE199" s="404">
        <v>0</v>
      </c>
      <c r="BF199" s="404">
        <v>0</v>
      </c>
      <c r="BG199" s="404">
        <v>0</v>
      </c>
      <c r="BH199" s="404">
        <v>0</v>
      </c>
      <c r="BI199" s="404">
        <v>0</v>
      </c>
      <c r="BJ199" s="404">
        <v>0</v>
      </c>
      <c r="BK199" s="404">
        <v>0</v>
      </c>
      <c r="BL199" s="404">
        <v>0</v>
      </c>
      <c r="BM199" s="404">
        <v>0</v>
      </c>
      <c r="BN199" s="404">
        <v>0</v>
      </c>
      <c r="BO199" s="404">
        <v>0</v>
      </c>
      <c r="BP199" s="404">
        <v>0</v>
      </c>
      <c r="BQ199" s="404">
        <v>0</v>
      </c>
      <c r="BR199" s="404">
        <v>0</v>
      </c>
      <c r="BS199" s="404">
        <v>0</v>
      </c>
      <c r="BT199" s="404">
        <v>0</v>
      </c>
      <c r="BU199" s="404">
        <v>0</v>
      </c>
      <c r="BV199" s="404">
        <v>0</v>
      </c>
      <c r="BW199" s="404">
        <v>0</v>
      </c>
      <c r="BX199" s="404">
        <v>0</v>
      </c>
      <c r="BY199" s="404">
        <v>0</v>
      </c>
      <c r="BZ199" s="404">
        <v>0</v>
      </c>
      <c r="CA199" s="404">
        <v>0</v>
      </c>
      <c r="CB199" s="404">
        <v>0</v>
      </c>
      <c r="CC199" s="404">
        <v>0</v>
      </c>
      <c r="CD199" s="404">
        <v>0</v>
      </c>
      <c r="CE199" s="404">
        <v>0</v>
      </c>
      <c r="CF199" s="404">
        <v>0</v>
      </c>
      <c r="CG199" s="404">
        <v>0</v>
      </c>
      <c r="CH199" s="404">
        <v>0</v>
      </c>
      <c r="CI199" s="404">
        <v>0</v>
      </c>
      <c r="CJ199" s="404">
        <v>0</v>
      </c>
      <c r="CK199" s="404">
        <v>0</v>
      </c>
      <c r="CL199" s="404">
        <v>0</v>
      </c>
      <c r="CM199" s="404">
        <v>0</v>
      </c>
      <c r="CN199" s="404">
        <v>0</v>
      </c>
      <c r="CO199" s="404">
        <v>0</v>
      </c>
      <c r="CP199" s="404">
        <v>0</v>
      </c>
      <c r="CQ199" s="404">
        <v>0</v>
      </c>
      <c r="CR199" s="404">
        <v>0</v>
      </c>
    </row>
    <row r="200" spans="1:96" s="404" customFormat="1" x14ac:dyDescent="0.3">
      <c r="A200" s="404">
        <v>550</v>
      </c>
      <c r="B200" s="405"/>
      <c r="C200" s="404">
        <v>550</v>
      </c>
      <c r="D200" s="404" t="s">
        <v>571</v>
      </c>
      <c r="E200" s="404" t="s">
        <v>572</v>
      </c>
      <c r="F200" s="404">
        <v>0</v>
      </c>
      <c r="G200" s="404">
        <v>0</v>
      </c>
      <c r="H200" s="404">
        <v>0</v>
      </c>
      <c r="I200" s="404">
        <v>0</v>
      </c>
      <c r="J200" s="404">
        <v>0</v>
      </c>
      <c r="K200" s="404">
        <v>0</v>
      </c>
      <c r="L200" s="404">
        <v>0</v>
      </c>
      <c r="M200" s="404">
        <v>0</v>
      </c>
      <c r="N200" s="404">
        <v>0</v>
      </c>
      <c r="O200" s="404">
        <v>0</v>
      </c>
      <c r="P200" s="404">
        <v>0</v>
      </c>
      <c r="Q200" s="404">
        <v>0</v>
      </c>
      <c r="R200" s="404">
        <v>0</v>
      </c>
      <c r="S200" s="404">
        <v>0</v>
      </c>
      <c r="T200" s="404">
        <v>0</v>
      </c>
      <c r="U200" s="404">
        <v>0</v>
      </c>
      <c r="V200" s="404">
        <v>0</v>
      </c>
      <c r="W200" s="404">
        <v>0</v>
      </c>
      <c r="X200" s="404">
        <v>0</v>
      </c>
      <c r="Y200" s="404">
        <v>0</v>
      </c>
      <c r="Z200" s="404">
        <v>0</v>
      </c>
      <c r="AA200" s="404">
        <v>0</v>
      </c>
      <c r="AB200" s="404">
        <v>0</v>
      </c>
      <c r="AC200" s="404">
        <v>0</v>
      </c>
      <c r="AD200" s="404">
        <v>0</v>
      </c>
      <c r="AE200" s="404">
        <v>0</v>
      </c>
      <c r="AF200" s="404">
        <v>0</v>
      </c>
      <c r="AG200" s="404">
        <v>0</v>
      </c>
      <c r="AH200" s="404">
        <v>0</v>
      </c>
      <c r="AI200" s="404">
        <v>0</v>
      </c>
      <c r="AJ200" s="404">
        <v>0</v>
      </c>
      <c r="AK200" s="404">
        <v>0</v>
      </c>
      <c r="AL200" s="404">
        <v>0</v>
      </c>
      <c r="AM200" s="404">
        <v>0</v>
      </c>
      <c r="AN200" s="404">
        <v>0</v>
      </c>
      <c r="AO200" s="404">
        <v>0</v>
      </c>
      <c r="AP200" s="404">
        <v>0</v>
      </c>
      <c r="AQ200" s="404">
        <v>0</v>
      </c>
      <c r="AR200" s="404">
        <v>0</v>
      </c>
      <c r="AS200" s="404">
        <v>0</v>
      </c>
      <c r="AT200" s="404">
        <v>0</v>
      </c>
      <c r="AU200" s="404">
        <v>0</v>
      </c>
      <c r="AV200" s="404">
        <v>0</v>
      </c>
      <c r="AW200" s="404">
        <v>0</v>
      </c>
      <c r="AX200" s="404">
        <v>0</v>
      </c>
      <c r="AY200" s="404">
        <v>0</v>
      </c>
      <c r="AZ200" s="404">
        <v>0</v>
      </c>
      <c r="BA200" s="404">
        <v>0</v>
      </c>
      <c r="BB200" s="404">
        <v>0</v>
      </c>
      <c r="BC200" s="404">
        <v>0</v>
      </c>
      <c r="BD200" s="404">
        <v>0</v>
      </c>
      <c r="BE200" s="404">
        <v>0</v>
      </c>
      <c r="BF200" s="404">
        <v>0</v>
      </c>
      <c r="BG200" s="404">
        <v>0</v>
      </c>
      <c r="BH200" s="404">
        <v>0</v>
      </c>
      <c r="BI200" s="404">
        <v>0</v>
      </c>
      <c r="BJ200" s="404">
        <v>0</v>
      </c>
      <c r="BK200" s="404">
        <v>0</v>
      </c>
      <c r="BL200" s="404">
        <v>0</v>
      </c>
      <c r="BM200" s="404">
        <v>0</v>
      </c>
      <c r="BN200" s="404">
        <v>0</v>
      </c>
      <c r="BO200" s="404">
        <v>0</v>
      </c>
      <c r="BP200" s="404">
        <v>0</v>
      </c>
      <c r="BQ200" s="404">
        <v>0</v>
      </c>
      <c r="BR200" s="404">
        <v>0</v>
      </c>
      <c r="BS200" s="404">
        <v>0</v>
      </c>
      <c r="BT200" s="404">
        <v>0</v>
      </c>
      <c r="BU200" s="404">
        <v>0</v>
      </c>
      <c r="BV200" s="404">
        <v>0</v>
      </c>
      <c r="BW200" s="404">
        <v>0</v>
      </c>
      <c r="BX200" s="404">
        <v>0</v>
      </c>
      <c r="BY200" s="404">
        <v>0</v>
      </c>
      <c r="BZ200" s="404">
        <v>0</v>
      </c>
      <c r="CA200" s="404">
        <v>0</v>
      </c>
      <c r="CB200" s="404">
        <v>0</v>
      </c>
      <c r="CC200" s="404">
        <v>0</v>
      </c>
      <c r="CD200" s="404">
        <v>0</v>
      </c>
      <c r="CE200" s="404">
        <v>0</v>
      </c>
      <c r="CF200" s="404">
        <v>0</v>
      </c>
      <c r="CG200" s="404">
        <v>0</v>
      </c>
      <c r="CH200" s="404">
        <v>0</v>
      </c>
      <c r="CI200" s="404">
        <v>0</v>
      </c>
      <c r="CJ200" s="404">
        <v>0</v>
      </c>
      <c r="CK200" s="404">
        <v>0</v>
      </c>
      <c r="CL200" s="404">
        <v>0</v>
      </c>
      <c r="CM200" s="404">
        <v>0</v>
      </c>
      <c r="CN200" s="404">
        <v>0</v>
      </c>
      <c r="CO200" s="404">
        <v>0</v>
      </c>
      <c r="CP200" s="404">
        <v>0</v>
      </c>
      <c r="CQ200" s="404">
        <v>0</v>
      </c>
      <c r="CR200" s="404">
        <v>0</v>
      </c>
    </row>
    <row r="201" spans="1:96" s="404" customFormat="1" ht="72" x14ac:dyDescent="0.3">
      <c r="A201" s="404">
        <v>551</v>
      </c>
      <c r="B201" s="405"/>
      <c r="C201" s="404">
        <v>551</v>
      </c>
      <c r="D201" s="1126" t="s">
        <v>1781</v>
      </c>
      <c r="E201" s="404" t="s">
        <v>573</v>
      </c>
      <c r="F201" s="404">
        <v>0</v>
      </c>
      <c r="G201" s="404">
        <v>0</v>
      </c>
      <c r="H201" s="404">
        <v>0</v>
      </c>
      <c r="I201" s="404">
        <v>0</v>
      </c>
      <c r="J201" s="404">
        <v>0</v>
      </c>
      <c r="K201" s="404">
        <v>0</v>
      </c>
      <c r="L201" s="404">
        <v>0</v>
      </c>
      <c r="M201" s="404">
        <v>0</v>
      </c>
      <c r="N201" s="404">
        <v>0</v>
      </c>
      <c r="O201" s="404">
        <v>0</v>
      </c>
      <c r="P201" s="404">
        <v>0</v>
      </c>
      <c r="Q201" s="404">
        <v>0</v>
      </c>
      <c r="R201" s="404">
        <v>0</v>
      </c>
      <c r="S201" s="404">
        <v>0</v>
      </c>
      <c r="T201" s="404">
        <v>0</v>
      </c>
      <c r="U201" s="404">
        <v>0</v>
      </c>
      <c r="V201" s="404">
        <v>0</v>
      </c>
      <c r="W201" s="404">
        <v>0</v>
      </c>
      <c r="X201" s="404">
        <v>0</v>
      </c>
      <c r="Y201" s="404">
        <v>0</v>
      </c>
      <c r="Z201" s="404">
        <v>0</v>
      </c>
      <c r="AA201" s="404">
        <v>0</v>
      </c>
      <c r="AB201" s="404">
        <v>0</v>
      </c>
      <c r="AC201" s="404">
        <v>0</v>
      </c>
      <c r="AD201" s="404">
        <v>0</v>
      </c>
      <c r="AE201" s="404">
        <v>0</v>
      </c>
      <c r="AF201" s="404">
        <v>0</v>
      </c>
      <c r="AG201" s="404">
        <v>0</v>
      </c>
      <c r="AH201" s="404">
        <v>0</v>
      </c>
      <c r="AI201" s="404">
        <v>0</v>
      </c>
      <c r="AJ201" s="404">
        <v>0</v>
      </c>
      <c r="AK201" s="404">
        <v>0</v>
      </c>
      <c r="AL201" s="404">
        <v>0</v>
      </c>
      <c r="AM201" s="404">
        <v>0</v>
      </c>
      <c r="AN201" s="404">
        <v>0</v>
      </c>
      <c r="AO201" s="404">
        <v>0</v>
      </c>
      <c r="AP201" s="404">
        <v>0</v>
      </c>
      <c r="AQ201" s="404">
        <v>0</v>
      </c>
      <c r="AR201" s="404">
        <v>0</v>
      </c>
      <c r="AS201" s="404">
        <v>0</v>
      </c>
      <c r="AT201" s="404">
        <v>0</v>
      </c>
      <c r="AU201" s="404">
        <v>0</v>
      </c>
      <c r="AV201" s="404">
        <v>0</v>
      </c>
      <c r="AW201" s="404">
        <v>0</v>
      </c>
      <c r="AX201" s="404">
        <v>0</v>
      </c>
      <c r="AY201" s="404">
        <v>0</v>
      </c>
      <c r="AZ201" s="404">
        <v>0</v>
      </c>
      <c r="BA201" s="404">
        <v>0</v>
      </c>
      <c r="BB201" s="404">
        <v>0</v>
      </c>
      <c r="BC201" s="404">
        <v>0</v>
      </c>
      <c r="BD201" s="404">
        <v>0</v>
      </c>
      <c r="BE201" s="404">
        <v>0</v>
      </c>
      <c r="BF201" s="404">
        <v>0</v>
      </c>
      <c r="BG201" s="404">
        <v>0</v>
      </c>
      <c r="BH201" s="404">
        <v>0</v>
      </c>
      <c r="BI201" s="404">
        <v>0</v>
      </c>
      <c r="BJ201" s="404">
        <v>0</v>
      </c>
      <c r="BK201" s="404">
        <v>0</v>
      </c>
      <c r="BL201" s="404">
        <v>0</v>
      </c>
      <c r="BM201" s="404">
        <v>0</v>
      </c>
      <c r="BN201" s="404">
        <v>0</v>
      </c>
      <c r="BO201" s="404">
        <v>0</v>
      </c>
      <c r="BP201" s="404">
        <v>0</v>
      </c>
      <c r="BQ201" s="404">
        <v>0</v>
      </c>
      <c r="BR201" s="404">
        <v>0</v>
      </c>
      <c r="BS201" s="404">
        <v>0</v>
      </c>
      <c r="BT201" s="404">
        <v>0</v>
      </c>
      <c r="BU201" s="404">
        <v>0</v>
      </c>
      <c r="BV201" s="404">
        <v>0</v>
      </c>
      <c r="BW201" s="404">
        <v>0</v>
      </c>
      <c r="BX201" s="404">
        <v>0</v>
      </c>
      <c r="BY201" s="404">
        <v>0</v>
      </c>
      <c r="BZ201" s="404">
        <v>0</v>
      </c>
      <c r="CA201" s="404">
        <v>0</v>
      </c>
      <c r="CB201" s="404">
        <v>0</v>
      </c>
      <c r="CC201" s="404">
        <v>0</v>
      </c>
      <c r="CD201" s="404">
        <v>0</v>
      </c>
      <c r="CE201" s="404">
        <v>0</v>
      </c>
      <c r="CF201" s="404">
        <v>0</v>
      </c>
      <c r="CG201" s="404">
        <v>0</v>
      </c>
      <c r="CH201" s="404">
        <v>0</v>
      </c>
      <c r="CI201" s="404">
        <v>0</v>
      </c>
      <c r="CJ201" s="404">
        <v>0</v>
      </c>
      <c r="CK201" s="404">
        <v>0</v>
      </c>
      <c r="CL201" s="404">
        <v>0</v>
      </c>
      <c r="CM201" s="404">
        <v>0</v>
      </c>
      <c r="CN201" s="404">
        <v>0</v>
      </c>
      <c r="CO201" s="404">
        <v>0</v>
      </c>
      <c r="CP201" s="404">
        <v>0</v>
      </c>
      <c r="CQ201" s="404">
        <v>0</v>
      </c>
      <c r="CR201" s="404">
        <v>0</v>
      </c>
    </row>
    <row r="202" spans="1:96" s="404" customFormat="1" x14ac:dyDescent="0.3">
      <c r="A202" s="404">
        <v>552</v>
      </c>
      <c r="B202" s="405"/>
      <c r="C202" s="404">
        <v>552</v>
      </c>
      <c r="D202" s="404" t="s">
        <v>541</v>
      </c>
      <c r="E202" s="404" t="s">
        <v>574</v>
      </c>
      <c r="F202" s="404">
        <v>0</v>
      </c>
      <c r="G202" s="404">
        <v>0</v>
      </c>
      <c r="H202" s="404">
        <v>0</v>
      </c>
      <c r="I202" s="404">
        <v>0</v>
      </c>
      <c r="J202" s="404">
        <v>0</v>
      </c>
      <c r="K202" s="404">
        <v>0</v>
      </c>
      <c r="L202" s="404">
        <v>0</v>
      </c>
      <c r="M202" s="404">
        <v>0</v>
      </c>
      <c r="N202" s="404">
        <v>0</v>
      </c>
      <c r="O202" s="404">
        <v>0</v>
      </c>
      <c r="P202" s="404">
        <v>0</v>
      </c>
      <c r="Q202" s="404">
        <v>0</v>
      </c>
      <c r="R202" s="404">
        <v>0</v>
      </c>
      <c r="S202" s="404">
        <v>0</v>
      </c>
      <c r="T202" s="404">
        <v>0</v>
      </c>
      <c r="U202" s="404">
        <v>0</v>
      </c>
      <c r="V202" s="404">
        <v>0</v>
      </c>
      <c r="W202" s="404">
        <v>0</v>
      </c>
      <c r="X202" s="404">
        <v>0</v>
      </c>
      <c r="Y202" s="404">
        <v>0</v>
      </c>
      <c r="Z202" s="404">
        <v>0</v>
      </c>
      <c r="AA202" s="404">
        <v>0</v>
      </c>
      <c r="AB202" s="404">
        <v>0</v>
      </c>
      <c r="AC202" s="404">
        <v>0</v>
      </c>
      <c r="AD202" s="404">
        <v>0</v>
      </c>
      <c r="AE202" s="404">
        <v>0</v>
      </c>
      <c r="AF202" s="404">
        <v>0</v>
      </c>
      <c r="AG202" s="404">
        <v>0</v>
      </c>
      <c r="AH202" s="404">
        <v>0</v>
      </c>
      <c r="AI202" s="404">
        <v>0</v>
      </c>
      <c r="AJ202" s="404">
        <v>0</v>
      </c>
      <c r="AK202" s="404">
        <v>0</v>
      </c>
      <c r="AL202" s="404">
        <v>0</v>
      </c>
      <c r="AM202" s="404">
        <v>0</v>
      </c>
      <c r="AN202" s="404">
        <v>0</v>
      </c>
      <c r="AO202" s="404">
        <v>0</v>
      </c>
      <c r="AP202" s="404">
        <v>0</v>
      </c>
      <c r="AQ202" s="404">
        <v>0</v>
      </c>
      <c r="AR202" s="404">
        <v>0</v>
      </c>
      <c r="AS202" s="404">
        <v>0</v>
      </c>
      <c r="AT202" s="404">
        <v>0</v>
      </c>
      <c r="AU202" s="404">
        <v>0</v>
      </c>
      <c r="AV202" s="404">
        <v>0</v>
      </c>
      <c r="AW202" s="404">
        <v>0</v>
      </c>
      <c r="AX202" s="404">
        <v>0</v>
      </c>
      <c r="AY202" s="404">
        <v>0</v>
      </c>
      <c r="AZ202" s="404">
        <v>0</v>
      </c>
      <c r="BA202" s="404">
        <v>0</v>
      </c>
      <c r="BB202" s="404">
        <v>0</v>
      </c>
      <c r="BC202" s="404">
        <v>0</v>
      </c>
      <c r="BD202" s="404">
        <v>0</v>
      </c>
      <c r="BE202" s="404">
        <v>0</v>
      </c>
      <c r="BF202" s="404">
        <v>0</v>
      </c>
      <c r="BG202" s="404">
        <v>0</v>
      </c>
      <c r="BH202" s="404">
        <v>0</v>
      </c>
      <c r="BI202" s="404">
        <v>0</v>
      </c>
      <c r="BJ202" s="404">
        <v>0</v>
      </c>
      <c r="BK202" s="404">
        <v>0</v>
      </c>
      <c r="BL202" s="404">
        <v>0</v>
      </c>
      <c r="BM202" s="404">
        <v>0</v>
      </c>
      <c r="BN202" s="404">
        <v>0</v>
      </c>
      <c r="BO202" s="404">
        <v>0</v>
      </c>
      <c r="BP202" s="404">
        <v>0</v>
      </c>
      <c r="BQ202" s="404">
        <v>0</v>
      </c>
      <c r="BR202" s="404">
        <v>0</v>
      </c>
      <c r="BS202" s="404">
        <v>0</v>
      </c>
      <c r="BT202" s="404">
        <v>0</v>
      </c>
      <c r="BU202" s="404">
        <v>0</v>
      </c>
      <c r="BV202" s="404">
        <v>0</v>
      </c>
      <c r="BW202" s="404">
        <v>0</v>
      </c>
      <c r="BX202" s="404">
        <v>0</v>
      </c>
      <c r="BY202" s="404">
        <v>0</v>
      </c>
      <c r="BZ202" s="404">
        <v>0</v>
      </c>
      <c r="CA202" s="404">
        <v>0</v>
      </c>
      <c r="CB202" s="404">
        <v>0</v>
      </c>
      <c r="CC202" s="404">
        <v>0</v>
      </c>
      <c r="CD202" s="404">
        <v>0</v>
      </c>
      <c r="CE202" s="404">
        <v>0</v>
      </c>
      <c r="CF202" s="404">
        <v>0</v>
      </c>
      <c r="CG202" s="404">
        <v>0</v>
      </c>
      <c r="CH202" s="404">
        <v>0</v>
      </c>
      <c r="CI202" s="404">
        <v>0</v>
      </c>
      <c r="CJ202" s="404">
        <v>0</v>
      </c>
      <c r="CK202" s="404">
        <v>0</v>
      </c>
      <c r="CL202" s="404">
        <v>0</v>
      </c>
      <c r="CM202" s="404">
        <v>0</v>
      </c>
      <c r="CN202" s="404">
        <v>0</v>
      </c>
      <c r="CO202" s="404">
        <v>0</v>
      </c>
      <c r="CP202" s="404">
        <v>0</v>
      </c>
      <c r="CQ202" s="404">
        <v>0</v>
      </c>
      <c r="CR202" s="404">
        <v>0</v>
      </c>
    </row>
    <row r="203" spans="1:96" s="404" customFormat="1" x14ac:dyDescent="0.3">
      <c r="A203" s="404">
        <v>553</v>
      </c>
      <c r="B203" s="405"/>
      <c r="C203" s="404">
        <v>553</v>
      </c>
      <c r="D203" s="404" t="s">
        <v>575</v>
      </c>
      <c r="E203" s="404" t="s">
        <v>576</v>
      </c>
    </row>
    <row r="204" spans="1:96" s="404" customFormat="1" x14ac:dyDescent="0.3">
      <c r="A204" s="404">
        <v>554</v>
      </c>
      <c r="B204" s="405">
        <v>554</v>
      </c>
      <c r="C204" s="404">
        <v>554</v>
      </c>
      <c r="D204" s="404" t="s">
        <v>577</v>
      </c>
      <c r="E204" s="404" t="s">
        <v>578</v>
      </c>
      <c r="F204" s="404">
        <v>0</v>
      </c>
      <c r="G204" s="404">
        <v>0</v>
      </c>
      <c r="H204" s="404">
        <v>0</v>
      </c>
      <c r="I204" s="404">
        <v>1414939</v>
      </c>
      <c r="J204" s="404">
        <v>0</v>
      </c>
      <c r="K204" s="404">
        <v>0</v>
      </c>
      <c r="L204" s="404">
        <v>1784820</v>
      </c>
      <c r="M204" s="404">
        <v>0</v>
      </c>
      <c r="N204" s="404">
        <v>0</v>
      </c>
      <c r="O204" s="404">
        <v>0</v>
      </c>
      <c r="P204" s="404">
        <v>1001268</v>
      </c>
      <c r="Q204" s="404">
        <v>0</v>
      </c>
      <c r="R204" s="404">
        <v>0</v>
      </c>
      <c r="S204" s="404">
        <v>0</v>
      </c>
      <c r="T204" s="404">
        <v>0</v>
      </c>
      <c r="U204" s="404">
        <v>0</v>
      </c>
      <c r="V204" s="404">
        <v>1192749</v>
      </c>
      <c r="W204" s="404">
        <v>0</v>
      </c>
      <c r="X204" s="404">
        <v>0</v>
      </c>
      <c r="Y204" s="404">
        <v>341465</v>
      </c>
      <c r="Z204" s="404">
        <v>486430</v>
      </c>
      <c r="AA204" s="404">
        <v>0</v>
      </c>
      <c r="AB204" s="404">
        <v>0</v>
      </c>
      <c r="AC204" s="404">
        <v>0</v>
      </c>
      <c r="AD204" s="404">
        <v>0</v>
      </c>
      <c r="AE204" s="404">
        <v>0</v>
      </c>
      <c r="AF204" s="404">
        <v>2116217</v>
      </c>
      <c r="AG204" s="404">
        <v>0</v>
      </c>
      <c r="AH204" s="404">
        <v>8027974</v>
      </c>
      <c r="AI204" s="404">
        <v>0</v>
      </c>
      <c r="AJ204" s="404">
        <v>92478</v>
      </c>
      <c r="AK204" s="404">
        <v>0</v>
      </c>
      <c r="AL204" s="404">
        <v>0</v>
      </c>
      <c r="AM204" s="404">
        <v>0</v>
      </c>
      <c r="AN204" s="404">
        <v>0</v>
      </c>
      <c r="AO204" s="404">
        <v>0</v>
      </c>
      <c r="AP204" s="404">
        <v>0</v>
      </c>
      <c r="AQ204" s="404">
        <v>35936</v>
      </c>
      <c r="AR204" s="404">
        <v>0</v>
      </c>
      <c r="AS204" s="404">
        <v>0</v>
      </c>
      <c r="AT204" s="404">
        <v>0</v>
      </c>
      <c r="AU204" s="404">
        <v>0</v>
      </c>
      <c r="AV204" s="404">
        <v>0</v>
      </c>
      <c r="AW204" s="404">
        <v>0</v>
      </c>
      <c r="AX204" s="404">
        <v>1002329</v>
      </c>
      <c r="AY204" s="404">
        <v>0</v>
      </c>
      <c r="AZ204" s="404">
        <v>2509225</v>
      </c>
      <c r="BA204" s="404">
        <v>0</v>
      </c>
      <c r="BB204" s="404">
        <v>993464</v>
      </c>
      <c r="BC204" s="404">
        <v>0</v>
      </c>
      <c r="BD204" s="404">
        <v>0</v>
      </c>
      <c r="BE204" s="404">
        <v>0</v>
      </c>
      <c r="BF204" s="404">
        <v>0</v>
      </c>
      <c r="BG204" s="404">
        <v>1281578</v>
      </c>
      <c r="BH204" s="404">
        <v>0</v>
      </c>
      <c r="BI204" s="404">
        <v>3295906</v>
      </c>
      <c r="BJ204" s="404">
        <v>0</v>
      </c>
      <c r="BK204" s="404">
        <v>0</v>
      </c>
      <c r="BL204" s="404">
        <v>0</v>
      </c>
      <c r="BM204" s="404">
        <v>0</v>
      </c>
      <c r="BN204" s="404">
        <v>0</v>
      </c>
      <c r="BO204" s="404">
        <v>0</v>
      </c>
      <c r="BP204" s="404">
        <v>0</v>
      </c>
      <c r="BQ204" s="404">
        <v>0</v>
      </c>
      <c r="BR204" s="404">
        <v>0</v>
      </c>
      <c r="BS204" s="404">
        <v>0</v>
      </c>
      <c r="BT204" s="404">
        <v>0</v>
      </c>
      <c r="BU204" s="404">
        <v>886193</v>
      </c>
      <c r="BV204" s="404">
        <v>0</v>
      </c>
      <c r="BW204" s="404">
        <v>0</v>
      </c>
      <c r="BX204" s="404">
        <v>0</v>
      </c>
      <c r="BY204" s="404">
        <v>1163744</v>
      </c>
      <c r="BZ204" s="404">
        <v>0</v>
      </c>
      <c r="CA204" s="404">
        <v>0</v>
      </c>
      <c r="CB204" s="404">
        <v>0</v>
      </c>
      <c r="CC204" s="404">
        <v>15555872</v>
      </c>
      <c r="CD204" s="404">
        <v>2664061</v>
      </c>
      <c r="CE204" s="404">
        <v>3992640</v>
      </c>
      <c r="CF204" s="404">
        <v>1483465</v>
      </c>
      <c r="CG204" s="404">
        <v>0</v>
      </c>
      <c r="CH204" s="404">
        <v>0</v>
      </c>
      <c r="CI204" s="404">
        <v>22417224</v>
      </c>
      <c r="CJ204" s="404">
        <v>811027</v>
      </c>
      <c r="CK204" s="404">
        <v>0</v>
      </c>
      <c r="CL204" s="404">
        <v>0</v>
      </c>
      <c r="CM204" s="404">
        <v>0</v>
      </c>
      <c r="CN204" s="404">
        <v>0</v>
      </c>
      <c r="CO204" s="404">
        <v>0</v>
      </c>
      <c r="CP204" s="404">
        <v>1871935</v>
      </c>
      <c r="CQ204" s="404">
        <v>0</v>
      </c>
      <c r="CR204" s="404">
        <v>0</v>
      </c>
    </row>
    <row r="205" spans="1:96" s="404" customFormat="1" x14ac:dyDescent="0.3">
      <c r="A205" s="404">
        <v>555</v>
      </c>
      <c r="B205" s="405">
        <v>555</v>
      </c>
      <c r="C205" s="404">
        <v>555</v>
      </c>
      <c r="D205" s="404" t="s">
        <v>579</v>
      </c>
      <c r="E205" s="404" t="s">
        <v>580</v>
      </c>
      <c r="F205" s="404">
        <v>0</v>
      </c>
      <c r="G205" s="404">
        <v>0</v>
      </c>
      <c r="H205" s="404">
        <v>0</v>
      </c>
      <c r="I205" s="404">
        <v>1414939</v>
      </c>
      <c r="J205" s="404">
        <v>0</v>
      </c>
      <c r="K205" s="404">
        <v>0</v>
      </c>
      <c r="L205" s="404">
        <v>962152</v>
      </c>
      <c r="M205" s="404">
        <v>0</v>
      </c>
      <c r="N205" s="404">
        <v>0</v>
      </c>
      <c r="O205" s="404">
        <v>0</v>
      </c>
      <c r="P205" s="404">
        <v>852442</v>
      </c>
      <c r="Q205" s="404">
        <v>0</v>
      </c>
      <c r="R205" s="404">
        <v>0</v>
      </c>
      <c r="S205" s="404">
        <v>0</v>
      </c>
      <c r="T205" s="404">
        <v>0</v>
      </c>
      <c r="U205" s="404">
        <v>0</v>
      </c>
      <c r="V205" s="404">
        <v>821470</v>
      </c>
      <c r="W205" s="404">
        <v>0</v>
      </c>
      <c r="X205" s="404">
        <v>0</v>
      </c>
      <c r="Y205" s="404">
        <v>0</v>
      </c>
      <c r="Z205" s="404">
        <v>0</v>
      </c>
      <c r="AA205" s="404">
        <v>0</v>
      </c>
      <c r="AB205" s="404">
        <v>0</v>
      </c>
      <c r="AC205" s="404">
        <v>0</v>
      </c>
      <c r="AD205" s="404">
        <v>0</v>
      </c>
      <c r="AE205" s="404">
        <v>0</v>
      </c>
      <c r="AF205" s="404">
        <v>1940388</v>
      </c>
      <c r="AG205" s="404">
        <v>0</v>
      </c>
      <c r="AH205" s="404">
        <v>8027974</v>
      </c>
      <c r="AI205" s="404">
        <v>0</v>
      </c>
      <c r="AJ205" s="404">
        <v>0</v>
      </c>
      <c r="AK205" s="404">
        <v>0</v>
      </c>
      <c r="AL205" s="404">
        <v>0</v>
      </c>
      <c r="AM205" s="404">
        <v>0</v>
      </c>
      <c r="AN205" s="404">
        <v>0</v>
      </c>
      <c r="AO205" s="404">
        <v>0</v>
      </c>
      <c r="AP205" s="404">
        <v>0</v>
      </c>
      <c r="AQ205" s="404">
        <v>0</v>
      </c>
      <c r="AR205" s="404">
        <v>0</v>
      </c>
      <c r="AS205" s="404">
        <v>0</v>
      </c>
      <c r="AT205" s="404">
        <v>0</v>
      </c>
      <c r="AU205" s="404">
        <v>0</v>
      </c>
      <c r="AV205" s="404">
        <v>0</v>
      </c>
      <c r="AW205" s="404">
        <v>0</v>
      </c>
      <c r="AX205" s="404">
        <v>772727</v>
      </c>
      <c r="AY205" s="404">
        <v>0</v>
      </c>
      <c r="AZ205" s="404">
        <v>2411688</v>
      </c>
      <c r="BA205" s="404">
        <v>0</v>
      </c>
      <c r="BB205" s="404">
        <v>798658</v>
      </c>
      <c r="BC205" s="404">
        <v>0</v>
      </c>
      <c r="BD205" s="404">
        <v>0</v>
      </c>
      <c r="BE205" s="404">
        <v>0</v>
      </c>
      <c r="BF205" s="404">
        <v>0</v>
      </c>
      <c r="BG205" s="404">
        <v>1224585</v>
      </c>
      <c r="BH205" s="404">
        <v>0</v>
      </c>
      <c r="BI205" s="404">
        <v>2407622</v>
      </c>
      <c r="BJ205" s="404">
        <v>0</v>
      </c>
      <c r="BK205" s="404">
        <v>0</v>
      </c>
      <c r="BL205" s="404">
        <v>0</v>
      </c>
      <c r="BM205" s="404">
        <v>0</v>
      </c>
      <c r="BN205" s="404">
        <v>0</v>
      </c>
      <c r="BO205" s="404">
        <v>0</v>
      </c>
      <c r="BP205" s="404">
        <v>0</v>
      </c>
      <c r="BQ205" s="404">
        <v>0</v>
      </c>
      <c r="BR205" s="404">
        <v>0</v>
      </c>
      <c r="BS205" s="404">
        <v>0</v>
      </c>
      <c r="BT205" s="404">
        <v>0</v>
      </c>
      <c r="BU205" s="404">
        <v>861879</v>
      </c>
      <c r="BV205" s="404">
        <v>0</v>
      </c>
      <c r="BW205" s="404">
        <v>0</v>
      </c>
      <c r="BX205" s="404">
        <v>0</v>
      </c>
      <c r="BY205" s="404">
        <v>997069</v>
      </c>
      <c r="BZ205" s="404">
        <v>0</v>
      </c>
      <c r="CA205" s="404">
        <v>0</v>
      </c>
      <c r="CB205" s="404">
        <v>0</v>
      </c>
      <c r="CC205" s="404">
        <v>13075612</v>
      </c>
      <c r="CD205" s="404">
        <v>787158</v>
      </c>
      <c r="CE205" s="404">
        <v>3992640</v>
      </c>
      <c r="CF205" s="404">
        <v>1431639</v>
      </c>
      <c r="CG205" s="404">
        <v>0</v>
      </c>
      <c r="CH205" s="404">
        <v>0</v>
      </c>
      <c r="CI205" s="404">
        <v>7558260</v>
      </c>
      <c r="CJ205" s="404">
        <v>948240</v>
      </c>
      <c r="CK205" s="404">
        <v>0</v>
      </c>
      <c r="CL205" s="404">
        <v>0</v>
      </c>
      <c r="CM205" s="404">
        <v>0</v>
      </c>
      <c r="CN205" s="404">
        <v>0</v>
      </c>
      <c r="CO205" s="404">
        <v>0</v>
      </c>
      <c r="CP205" s="404">
        <v>1677595</v>
      </c>
      <c r="CQ205" s="404">
        <v>0</v>
      </c>
      <c r="CR205" s="404">
        <v>0</v>
      </c>
    </row>
    <row r="206" spans="1:96" s="404" customFormat="1" x14ac:dyDescent="0.3">
      <c r="A206" s="404">
        <v>556</v>
      </c>
      <c r="B206" s="405">
        <v>556</v>
      </c>
      <c r="C206" s="404">
        <v>556</v>
      </c>
      <c r="D206" s="404" t="s">
        <v>581</v>
      </c>
      <c r="E206" s="404" t="s">
        <v>582</v>
      </c>
      <c r="F206" s="404">
        <v>0</v>
      </c>
      <c r="G206" s="404">
        <v>0</v>
      </c>
      <c r="H206" s="404">
        <v>0</v>
      </c>
      <c r="I206" s="404">
        <v>0</v>
      </c>
      <c r="J206" s="404">
        <v>0</v>
      </c>
      <c r="K206" s="404">
        <v>0</v>
      </c>
      <c r="L206" s="404">
        <v>2991602</v>
      </c>
      <c r="M206" s="404">
        <v>0</v>
      </c>
      <c r="N206" s="404">
        <v>0</v>
      </c>
      <c r="O206" s="404">
        <v>0</v>
      </c>
      <c r="P206" s="404">
        <v>47726</v>
      </c>
      <c r="Q206" s="404">
        <v>0</v>
      </c>
      <c r="R206" s="404">
        <v>0</v>
      </c>
      <c r="S206" s="404">
        <v>0</v>
      </c>
      <c r="T206" s="404">
        <v>0</v>
      </c>
      <c r="U206" s="404">
        <v>0</v>
      </c>
      <c r="V206" s="404">
        <v>1870692</v>
      </c>
      <c r="W206" s="404">
        <v>0</v>
      </c>
      <c r="X206" s="404">
        <v>0</v>
      </c>
      <c r="Y206" s="404">
        <v>1038823</v>
      </c>
      <c r="Z206" s="404">
        <v>818881</v>
      </c>
      <c r="AA206" s="404">
        <v>0</v>
      </c>
      <c r="AB206" s="404">
        <v>0</v>
      </c>
      <c r="AC206" s="404">
        <v>0</v>
      </c>
      <c r="AD206" s="404">
        <v>0</v>
      </c>
      <c r="AE206" s="404">
        <v>0</v>
      </c>
      <c r="AF206" s="404">
        <v>680080</v>
      </c>
      <c r="AG206" s="404">
        <v>0</v>
      </c>
      <c r="AH206" s="404">
        <v>3733232</v>
      </c>
      <c r="AI206" s="404">
        <v>0</v>
      </c>
      <c r="AJ206" s="404">
        <v>587443</v>
      </c>
      <c r="AK206" s="404">
        <v>0</v>
      </c>
      <c r="AL206" s="404">
        <v>0</v>
      </c>
      <c r="AM206" s="404">
        <v>0</v>
      </c>
      <c r="AN206" s="404">
        <v>0</v>
      </c>
      <c r="AO206" s="404">
        <v>0</v>
      </c>
      <c r="AP206" s="404">
        <v>0</v>
      </c>
      <c r="AQ206" s="404">
        <v>2934421</v>
      </c>
      <c r="AR206" s="404">
        <v>0</v>
      </c>
      <c r="AS206" s="404">
        <v>0</v>
      </c>
      <c r="AT206" s="404">
        <v>0</v>
      </c>
      <c r="AU206" s="404">
        <v>0</v>
      </c>
      <c r="AV206" s="404">
        <v>0</v>
      </c>
      <c r="AW206" s="404">
        <v>0</v>
      </c>
      <c r="AX206" s="404">
        <v>86109</v>
      </c>
      <c r="AY206" s="404">
        <v>0</v>
      </c>
      <c r="AZ206" s="404">
        <v>1524073</v>
      </c>
      <c r="BA206" s="404">
        <v>0</v>
      </c>
      <c r="BB206" s="404">
        <v>467618</v>
      </c>
      <c r="BC206" s="404">
        <v>0</v>
      </c>
      <c r="BD206" s="404">
        <v>0</v>
      </c>
      <c r="BE206" s="404">
        <v>0</v>
      </c>
      <c r="BF206" s="404">
        <v>0</v>
      </c>
      <c r="BG206" s="404">
        <v>1170410</v>
      </c>
      <c r="BH206" s="404">
        <v>0</v>
      </c>
      <c r="BI206" s="404">
        <v>3301562</v>
      </c>
      <c r="BJ206" s="404">
        <v>0</v>
      </c>
      <c r="BK206" s="404">
        <v>0</v>
      </c>
      <c r="BL206" s="404">
        <v>0</v>
      </c>
      <c r="BM206" s="404">
        <v>0</v>
      </c>
      <c r="BN206" s="404">
        <v>0</v>
      </c>
      <c r="BO206" s="404">
        <v>0</v>
      </c>
      <c r="BP206" s="404">
        <v>0</v>
      </c>
      <c r="BQ206" s="404">
        <v>0</v>
      </c>
      <c r="BR206" s="404">
        <v>0</v>
      </c>
      <c r="BS206" s="404">
        <v>0</v>
      </c>
      <c r="BT206" s="404">
        <v>0</v>
      </c>
      <c r="BU206" s="404">
        <v>84591</v>
      </c>
      <c r="BV206" s="404">
        <v>0</v>
      </c>
      <c r="BW206" s="404">
        <v>0</v>
      </c>
      <c r="BX206" s="404">
        <v>0</v>
      </c>
      <c r="BY206" s="404">
        <v>1028945</v>
      </c>
      <c r="BZ206" s="404">
        <v>0</v>
      </c>
      <c r="CA206" s="404">
        <v>0</v>
      </c>
      <c r="CB206" s="404">
        <v>0</v>
      </c>
      <c r="CC206" s="404">
        <v>7277354</v>
      </c>
      <c r="CD206" s="404">
        <v>1674205</v>
      </c>
      <c r="CE206" s="404">
        <v>50788</v>
      </c>
      <c r="CF206" s="404">
        <v>713678</v>
      </c>
      <c r="CG206" s="404">
        <v>0</v>
      </c>
      <c r="CH206" s="404">
        <v>0</v>
      </c>
      <c r="CI206" s="404">
        <v>5606598</v>
      </c>
      <c r="CJ206" s="404">
        <v>873796</v>
      </c>
      <c r="CK206" s="404">
        <v>0</v>
      </c>
      <c r="CL206" s="404">
        <v>0</v>
      </c>
      <c r="CM206" s="404">
        <v>0</v>
      </c>
      <c r="CN206" s="404">
        <v>0</v>
      </c>
      <c r="CO206" s="404">
        <v>0</v>
      </c>
      <c r="CP206" s="404">
        <v>49873</v>
      </c>
      <c r="CQ206" s="404">
        <v>0</v>
      </c>
      <c r="CR206" s="404">
        <v>0</v>
      </c>
    </row>
    <row r="207" spans="1:96" s="404" customFormat="1" x14ac:dyDescent="0.3">
      <c r="A207" s="404">
        <v>557</v>
      </c>
      <c r="B207" s="405">
        <v>557</v>
      </c>
      <c r="C207" s="404">
        <v>557</v>
      </c>
      <c r="D207" s="404" t="s">
        <v>583</v>
      </c>
      <c r="E207" s="404" t="s">
        <v>584</v>
      </c>
      <c r="F207" s="404">
        <v>0</v>
      </c>
      <c r="G207" s="404">
        <v>0</v>
      </c>
      <c r="H207" s="404">
        <v>0</v>
      </c>
      <c r="I207" s="404">
        <v>0</v>
      </c>
      <c r="J207" s="404">
        <v>0</v>
      </c>
      <c r="K207" s="404">
        <v>0</v>
      </c>
      <c r="L207" s="404">
        <v>2560272</v>
      </c>
      <c r="M207" s="404">
        <v>0</v>
      </c>
      <c r="N207" s="404">
        <v>0</v>
      </c>
      <c r="O207" s="404">
        <v>0</v>
      </c>
      <c r="P207" s="404">
        <v>0</v>
      </c>
      <c r="Q207" s="404">
        <v>0</v>
      </c>
      <c r="R207" s="404">
        <v>0</v>
      </c>
      <c r="S207" s="404">
        <v>0</v>
      </c>
      <c r="T207" s="404">
        <v>0</v>
      </c>
      <c r="U207" s="404">
        <v>0</v>
      </c>
      <c r="V207" s="404">
        <v>1666666</v>
      </c>
      <c r="W207" s="404">
        <v>0</v>
      </c>
      <c r="X207" s="404">
        <v>0</v>
      </c>
      <c r="Y207" s="404">
        <v>1021600</v>
      </c>
      <c r="Z207" s="404">
        <v>375852</v>
      </c>
      <c r="AA207" s="404">
        <v>0</v>
      </c>
      <c r="AB207" s="404">
        <v>0</v>
      </c>
      <c r="AC207" s="404">
        <v>0</v>
      </c>
      <c r="AD207" s="404">
        <v>0</v>
      </c>
      <c r="AE207" s="404">
        <v>0</v>
      </c>
      <c r="AF207" s="404">
        <v>662080</v>
      </c>
      <c r="AG207" s="404">
        <v>0</v>
      </c>
      <c r="AH207" s="404">
        <v>3724650</v>
      </c>
      <c r="AI207" s="404">
        <v>0</v>
      </c>
      <c r="AJ207" s="404">
        <v>259734</v>
      </c>
      <c r="AK207" s="404">
        <v>0</v>
      </c>
      <c r="AL207" s="404">
        <v>0</v>
      </c>
      <c r="AM207" s="404">
        <v>0</v>
      </c>
      <c r="AN207" s="404">
        <v>0</v>
      </c>
      <c r="AO207" s="404">
        <v>0</v>
      </c>
      <c r="AP207" s="404">
        <v>0</v>
      </c>
      <c r="AQ207" s="404">
        <v>1987375</v>
      </c>
      <c r="AR207" s="404">
        <v>0</v>
      </c>
      <c r="AS207" s="404">
        <v>0</v>
      </c>
      <c r="AT207" s="404">
        <v>0</v>
      </c>
      <c r="AU207" s="404">
        <v>0</v>
      </c>
      <c r="AV207" s="404">
        <v>0</v>
      </c>
      <c r="AW207" s="404">
        <v>0</v>
      </c>
      <c r="AX207" s="404">
        <v>0</v>
      </c>
      <c r="AY207" s="404">
        <v>0</v>
      </c>
      <c r="AZ207" s="404">
        <v>923774</v>
      </c>
      <c r="BA207" s="404">
        <v>0</v>
      </c>
      <c r="BB207" s="404">
        <v>0</v>
      </c>
      <c r="BC207" s="404">
        <v>0</v>
      </c>
      <c r="BD207" s="404">
        <v>0</v>
      </c>
      <c r="BE207" s="404">
        <v>0</v>
      </c>
      <c r="BF207" s="404">
        <v>0</v>
      </c>
      <c r="BG207" s="404">
        <v>1043486</v>
      </c>
      <c r="BH207" s="404">
        <v>0</v>
      </c>
      <c r="BI207" s="404">
        <v>2759753</v>
      </c>
      <c r="BJ207" s="404">
        <v>0</v>
      </c>
      <c r="BK207" s="404">
        <v>0</v>
      </c>
      <c r="BL207" s="404">
        <v>0</v>
      </c>
      <c r="BM207" s="404">
        <v>0</v>
      </c>
      <c r="BN207" s="404">
        <v>0</v>
      </c>
      <c r="BO207" s="404">
        <v>0</v>
      </c>
      <c r="BP207" s="404">
        <v>0</v>
      </c>
      <c r="BQ207" s="404">
        <v>0</v>
      </c>
      <c r="BR207" s="404">
        <v>0</v>
      </c>
      <c r="BS207" s="404">
        <v>0</v>
      </c>
      <c r="BT207" s="404">
        <v>0</v>
      </c>
      <c r="BU207" s="404">
        <v>0</v>
      </c>
      <c r="BV207" s="404">
        <v>0</v>
      </c>
      <c r="BW207" s="404">
        <v>0</v>
      </c>
      <c r="BX207" s="404">
        <v>0</v>
      </c>
      <c r="BY207" s="404">
        <v>695093</v>
      </c>
      <c r="BZ207" s="404">
        <v>0</v>
      </c>
      <c r="CA207" s="404">
        <v>0</v>
      </c>
      <c r="CB207" s="404">
        <v>0</v>
      </c>
      <c r="CC207" s="404">
        <v>3506967</v>
      </c>
      <c r="CD207" s="404">
        <v>1325306</v>
      </c>
      <c r="CE207" s="404">
        <v>0</v>
      </c>
      <c r="CF207" s="404">
        <v>477213</v>
      </c>
      <c r="CG207" s="404">
        <v>0</v>
      </c>
      <c r="CH207" s="404">
        <v>0</v>
      </c>
      <c r="CI207" s="404">
        <v>3738178</v>
      </c>
      <c r="CJ207" s="404">
        <v>1271919</v>
      </c>
      <c r="CK207" s="404">
        <v>0</v>
      </c>
      <c r="CL207" s="404">
        <v>0</v>
      </c>
      <c r="CM207" s="404">
        <v>0</v>
      </c>
      <c r="CN207" s="404">
        <v>0</v>
      </c>
      <c r="CO207" s="404">
        <v>0</v>
      </c>
      <c r="CP207" s="404">
        <v>0</v>
      </c>
      <c r="CQ207" s="404">
        <v>0</v>
      </c>
      <c r="CR207" s="404">
        <v>0</v>
      </c>
    </row>
    <row r="208" spans="1:96" s="404" customFormat="1" x14ac:dyDescent="0.3">
      <c r="A208" s="404">
        <v>558</v>
      </c>
      <c r="B208" s="405"/>
      <c r="C208" s="404">
        <v>558</v>
      </c>
      <c r="E208" s="404" t="s">
        <v>585</v>
      </c>
    </row>
    <row r="209" spans="1:5" s="404" customFormat="1" x14ac:dyDescent="0.3">
      <c r="A209" s="404">
        <v>559</v>
      </c>
      <c r="B209" s="405"/>
      <c r="C209" s="404">
        <v>559</v>
      </c>
      <c r="E209" s="404" t="s">
        <v>586</v>
      </c>
    </row>
    <row r="210" spans="1:5" s="404" customFormat="1" x14ac:dyDescent="0.3">
      <c r="A210" s="404">
        <v>560</v>
      </c>
      <c r="B210" s="405"/>
      <c r="C210" s="404">
        <v>560</v>
      </c>
      <c r="E210" s="404" t="s">
        <v>587</v>
      </c>
    </row>
    <row r="211" spans="1:5" s="404" customFormat="1" x14ac:dyDescent="0.3">
      <c r="A211" s="404">
        <v>561</v>
      </c>
      <c r="B211" s="405"/>
      <c r="C211" s="404">
        <v>561</v>
      </c>
      <c r="E211" s="404" t="s">
        <v>588</v>
      </c>
    </row>
    <row r="212" spans="1:5" s="404" customFormat="1" x14ac:dyDescent="0.3">
      <c r="A212" s="404">
        <v>562</v>
      </c>
      <c r="B212" s="405"/>
      <c r="C212" s="404">
        <v>562</v>
      </c>
      <c r="E212" s="404" t="s">
        <v>589</v>
      </c>
    </row>
    <row r="213" spans="1:5" s="404" customFormat="1" x14ac:dyDescent="0.3">
      <c r="A213" s="404">
        <v>563</v>
      </c>
      <c r="B213" s="405"/>
      <c r="C213" s="404">
        <v>563</v>
      </c>
      <c r="E213" s="404" t="s">
        <v>590</v>
      </c>
    </row>
    <row r="214" spans="1:5" s="404" customFormat="1" x14ac:dyDescent="0.3">
      <c r="A214" s="404">
        <v>564</v>
      </c>
      <c r="B214" s="405"/>
      <c r="C214" s="404">
        <v>564</v>
      </c>
      <c r="E214" s="404" t="s">
        <v>591</v>
      </c>
    </row>
    <row r="215" spans="1:5" s="404" customFormat="1" x14ac:dyDescent="0.3">
      <c r="A215" s="404">
        <v>565</v>
      </c>
      <c r="B215" s="405"/>
      <c r="C215" s="404">
        <v>565</v>
      </c>
      <c r="E215" s="404" t="s">
        <v>592</v>
      </c>
    </row>
    <row r="216" spans="1:5" s="404" customFormat="1" x14ac:dyDescent="0.3">
      <c r="A216" s="404">
        <v>566</v>
      </c>
      <c r="B216" s="405"/>
      <c r="C216" s="404">
        <v>566</v>
      </c>
      <c r="E216" s="404" t="s">
        <v>593</v>
      </c>
    </row>
    <row r="217" spans="1:5" s="404" customFormat="1" x14ac:dyDescent="0.3">
      <c r="A217" s="404">
        <v>567</v>
      </c>
      <c r="B217" s="405"/>
      <c r="C217" s="404">
        <v>567</v>
      </c>
      <c r="E217" s="404" t="s">
        <v>594</v>
      </c>
    </row>
    <row r="218" spans="1:5" s="404" customFormat="1" x14ac:dyDescent="0.3">
      <c r="A218" s="404">
        <v>568</v>
      </c>
      <c r="B218" s="405"/>
      <c r="C218" s="404">
        <v>568</v>
      </c>
      <c r="E218" s="404" t="s">
        <v>595</v>
      </c>
    </row>
    <row r="219" spans="1:5" s="404" customFormat="1" x14ac:dyDescent="0.3">
      <c r="A219" s="404">
        <v>569</v>
      </c>
      <c r="B219" s="405"/>
      <c r="C219" s="404">
        <v>569</v>
      </c>
      <c r="E219" s="404" t="s">
        <v>596</v>
      </c>
    </row>
    <row r="220" spans="1:5" s="404" customFormat="1" x14ac:dyDescent="0.3">
      <c r="A220" s="404">
        <v>570</v>
      </c>
      <c r="B220" s="405"/>
      <c r="C220" s="404">
        <v>570</v>
      </c>
      <c r="E220" s="404" t="s">
        <v>597</v>
      </c>
    </row>
    <row r="221" spans="1:5" s="404" customFormat="1" x14ac:dyDescent="0.3">
      <c r="A221" s="404">
        <v>571</v>
      </c>
      <c r="B221" s="405"/>
      <c r="C221" s="404">
        <v>571</v>
      </c>
      <c r="E221" s="404" t="s">
        <v>598</v>
      </c>
    </row>
    <row r="222" spans="1:5" s="404" customFormat="1" x14ac:dyDescent="0.3">
      <c r="A222" s="404">
        <v>572</v>
      </c>
      <c r="B222" s="405"/>
      <c r="C222" s="404">
        <v>572</v>
      </c>
      <c r="E222" s="404" t="s">
        <v>599</v>
      </c>
    </row>
    <row r="223" spans="1:5" s="404" customFormat="1" x14ac:dyDescent="0.3">
      <c r="A223" s="404">
        <v>573</v>
      </c>
      <c r="B223" s="405"/>
      <c r="C223" s="404">
        <v>573</v>
      </c>
      <c r="E223" s="404" t="s">
        <v>600</v>
      </c>
    </row>
    <row r="224" spans="1:5" s="404" customFormat="1" x14ac:dyDescent="0.3">
      <c r="A224" s="404">
        <v>574</v>
      </c>
      <c r="B224" s="405"/>
      <c r="C224" s="404">
        <v>574</v>
      </c>
      <c r="E224" s="404" t="s">
        <v>601</v>
      </c>
    </row>
    <row r="225" spans="1:96" s="404" customFormat="1" x14ac:dyDescent="0.3">
      <c r="A225" s="404">
        <v>575</v>
      </c>
      <c r="B225" s="405">
        <v>575</v>
      </c>
      <c r="C225" s="404">
        <v>575</v>
      </c>
      <c r="D225" s="404" t="s">
        <v>546</v>
      </c>
      <c r="E225" s="404" t="s">
        <v>642</v>
      </c>
      <c r="F225" s="404">
        <v>0</v>
      </c>
      <c r="G225" s="404">
        <v>0</v>
      </c>
      <c r="H225" s="404">
        <v>0</v>
      </c>
      <c r="I225" s="404">
        <v>0</v>
      </c>
      <c r="J225" s="404">
        <v>0</v>
      </c>
      <c r="K225" s="404">
        <v>112203</v>
      </c>
      <c r="L225" s="404">
        <v>1023256</v>
      </c>
      <c r="M225" s="404">
        <v>0</v>
      </c>
      <c r="N225" s="404">
        <v>0</v>
      </c>
      <c r="O225" s="404">
        <v>0</v>
      </c>
      <c r="P225" s="404">
        <v>0</v>
      </c>
      <c r="Q225" s="404">
        <v>0</v>
      </c>
      <c r="R225" s="404">
        <v>26994</v>
      </c>
      <c r="S225" s="404">
        <v>0</v>
      </c>
      <c r="T225" s="404">
        <v>0</v>
      </c>
      <c r="U225" s="404">
        <v>0</v>
      </c>
      <c r="V225" s="404">
        <v>64476</v>
      </c>
      <c r="W225" s="404">
        <v>0</v>
      </c>
      <c r="X225" s="404">
        <v>1925</v>
      </c>
      <c r="Y225" s="404">
        <v>0</v>
      </c>
      <c r="Z225" s="404">
        <v>400000</v>
      </c>
      <c r="AA225" s="404">
        <v>0</v>
      </c>
      <c r="AB225" s="404">
        <v>0</v>
      </c>
      <c r="AC225" s="404">
        <v>0</v>
      </c>
      <c r="AD225" s="404">
        <v>439968</v>
      </c>
      <c r="AE225" s="404">
        <v>25286</v>
      </c>
      <c r="AF225" s="404">
        <v>135124</v>
      </c>
      <c r="AG225" s="404">
        <v>0</v>
      </c>
      <c r="AH225" s="404">
        <v>0</v>
      </c>
      <c r="AI225" s="404">
        <v>0</v>
      </c>
      <c r="AJ225" s="404">
        <v>9626</v>
      </c>
      <c r="AK225" s="404">
        <v>918690</v>
      </c>
      <c r="AL225" s="404">
        <v>0</v>
      </c>
      <c r="AM225" s="404">
        <v>0</v>
      </c>
      <c r="AN225" s="404">
        <v>142048</v>
      </c>
      <c r="AO225" s="404">
        <v>2397</v>
      </c>
      <c r="AP225" s="404">
        <v>0</v>
      </c>
      <c r="AQ225" s="404">
        <v>0</v>
      </c>
      <c r="AR225" s="404">
        <v>0</v>
      </c>
      <c r="AS225" s="404">
        <v>0</v>
      </c>
      <c r="AT225" s="404">
        <v>0</v>
      </c>
      <c r="AU225" s="404">
        <v>0</v>
      </c>
      <c r="AV225" s="404">
        <v>0</v>
      </c>
      <c r="AW225" s="404">
        <v>0</v>
      </c>
      <c r="AX225" s="404">
        <v>13250</v>
      </c>
      <c r="AY225" s="404">
        <v>0</v>
      </c>
      <c r="AZ225" s="404">
        <v>0</v>
      </c>
      <c r="BA225" s="404">
        <v>0</v>
      </c>
      <c r="BB225" s="404">
        <v>0</v>
      </c>
      <c r="BC225" s="404">
        <v>0</v>
      </c>
      <c r="BD225" s="404">
        <v>0</v>
      </c>
      <c r="BE225" s="404">
        <v>0</v>
      </c>
      <c r="BF225" s="404">
        <v>0</v>
      </c>
      <c r="BG225" s="404">
        <v>32496</v>
      </c>
      <c r="BH225" s="404">
        <v>63235</v>
      </c>
      <c r="BI225" s="404">
        <v>1417006</v>
      </c>
      <c r="BJ225" s="404">
        <v>0</v>
      </c>
      <c r="BK225" s="404">
        <v>0</v>
      </c>
      <c r="BL225" s="404">
        <v>0</v>
      </c>
      <c r="BM225" s="404">
        <v>0</v>
      </c>
      <c r="BN225" s="404">
        <v>0</v>
      </c>
      <c r="BO225" s="404">
        <v>0</v>
      </c>
      <c r="BP225" s="404">
        <v>0</v>
      </c>
      <c r="BQ225" s="404">
        <v>0</v>
      </c>
      <c r="BR225" s="404">
        <v>0</v>
      </c>
      <c r="BS225" s="404">
        <v>0</v>
      </c>
      <c r="BT225" s="404">
        <v>0</v>
      </c>
      <c r="BU225" s="404">
        <v>0</v>
      </c>
      <c r="BV225" s="404">
        <v>0</v>
      </c>
      <c r="BW225" s="404">
        <v>0</v>
      </c>
      <c r="BX225" s="404">
        <v>0</v>
      </c>
      <c r="BY225" s="404">
        <v>154045</v>
      </c>
      <c r="BZ225" s="404">
        <v>0</v>
      </c>
      <c r="CA225" s="404">
        <v>0</v>
      </c>
      <c r="CB225" s="404">
        <v>0</v>
      </c>
      <c r="CC225" s="404">
        <v>0</v>
      </c>
      <c r="CD225" s="404">
        <v>839946</v>
      </c>
      <c r="CE225" s="404">
        <v>0</v>
      </c>
      <c r="CF225" s="404">
        <v>0</v>
      </c>
      <c r="CG225" s="404">
        <v>0</v>
      </c>
      <c r="CH225" s="404">
        <v>5597</v>
      </c>
      <c r="CI225" s="404">
        <v>0</v>
      </c>
      <c r="CJ225" s="404">
        <v>0</v>
      </c>
      <c r="CK225" s="404">
        <v>133753</v>
      </c>
      <c r="CL225" s="404">
        <v>0</v>
      </c>
      <c r="CM225" s="404">
        <v>0</v>
      </c>
      <c r="CN225" s="404">
        <v>0</v>
      </c>
      <c r="CO225" s="404">
        <v>0</v>
      </c>
      <c r="CP225" s="404">
        <v>0</v>
      </c>
      <c r="CQ225" s="404">
        <v>0</v>
      </c>
      <c r="CR225" s="404">
        <v>0</v>
      </c>
    </row>
    <row r="226" spans="1:96" s="404" customFormat="1" x14ac:dyDescent="0.3">
      <c r="A226" s="404">
        <v>576</v>
      </c>
      <c r="B226" s="405">
        <v>576</v>
      </c>
      <c r="C226" s="404">
        <v>576</v>
      </c>
      <c r="D226" s="404" t="s">
        <v>547</v>
      </c>
      <c r="E226" s="404" t="s">
        <v>643</v>
      </c>
      <c r="F226" s="404">
        <v>0</v>
      </c>
      <c r="G226" s="404">
        <v>0</v>
      </c>
      <c r="H226" s="404">
        <v>0</v>
      </c>
      <c r="I226" s="404">
        <v>0</v>
      </c>
      <c r="J226" s="404">
        <v>0</v>
      </c>
      <c r="K226" s="404">
        <v>0</v>
      </c>
      <c r="L226" s="404">
        <v>0</v>
      </c>
      <c r="M226" s="404">
        <v>0</v>
      </c>
      <c r="N226" s="404">
        <v>0</v>
      </c>
      <c r="O226" s="404">
        <v>0</v>
      </c>
      <c r="P226" s="404">
        <v>18415</v>
      </c>
      <c r="Q226" s="404">
        <v>0</v>
      </c>
      <c r="R226" s="404">
        <v>0</v>
      </c>
      <c r="S226" s="404">
        <v>0</v>
      </c>
      <c r="T226" s="404">
        <v>0</v>
      </c>
      <c r="U226" s="404">
        <v>0</v>
      </c>
      <c r="V226" s="404">
        <v>0</v>
      </c>
      <c r="W226" s="404">
        <v>0</v>
      </c>
      <c r="X226" s="404">
        <v>0</v>
      </c>
      <c r="Y226" s="404">
        <v>0</v>
      </c>
      <c r="Z226" s="404">
        <v>0</v>
      </c>
      <c r="AA226" s="404">
        <v>0</v>
      </c>
      <c r="AB226" s="404">
        <v>0</v>
      </c>
      <c r="AC226" s="404">
        <v>0</v>
      </c>
      <c r="AD226" s="404">
        <v>0</v>
      </c>
      <c r="AE226" s="404">
        <v>0</v>
      </c>
      <c r="AF226" s="404">
        <v>0</v>
      </c>
      <c r="AG226" s="404">
        <v>0</v>
      </c>
      <c r="AH226" s="404">
        <v>0</v>
      </c>
      <c r="AI226" s="404">
        <v>0</v>
      </c>
      <c r="AJ226" s="404">
        <v>0</v>
      </c>
      <c r="AK226" s="404">
        <v>0</v>
      </c>
      <c r="AL226" s="404">
        <v>160390</v>
      </c>
      <c r="AM226" s="404">
        <v>23692</v>
      </c>
      <c r="AN226" s="404">
        <v>0</v>
      </c>
      <c r="AO226" s="404">
        <v>0</v>
      </c>
      <c r="AP226" s="404">
        <v>0</v>
      </c>
      <c r="AQ226" s="404">
        <v>0</v>
      </c>
      <c r="AR226" s="404">
        <v>0</v>
      </c>
      <c r="AS226" s="404">
        <v>0</v>
      </c>
      <c r="AT226" s="404">
        <v>0</v>
      </c>
      <c r="AU226" s="404">
        <v>0</v>
      </c>
      <c r="AV226" s="404">
        <v>0</v>
      </c>
      <c r="AW226" s="404">
        <v>0</v>
      </c>
      <c r="AX226" s="404">
        <v>13250</v>
      </c>
      <c r="AY226" s="404">
        <v>0</v>
      </c>
      <c r="AZ226" s="404">
        <v>0</v>
      </c>
      <c r="BA226" s="404">
        <v>5000</v>
      </c>
      <c r="BB226" s="404">
        <v>900000</v>
      </c>
      <c r="BC226" s="404">
        <v>0</v>
      </c>
      <c r="BD226" s="404">
        <v>0</v>
      </c>
      <c r="BE226" s="404">
        <v>22428</v>
      </c>
      <c r="BF226" s="404">
        <v>0</v>
      </c>
      <c r="BG226" s="404">
        <v>0</v>
      </c>
      <c r="BH226" s="404">
        <v>0</v>
      </c>
      <c r="BI226" s="404">
        <v>0</v>
      </c>
      <c r="BJ226" s="404">
        <v>0</v>
      </c>
      <c r="BK226" s="404">
        <v>0</v>
      </c>
      <c r="BL226" s="404">
        <v>0</v>
      </c>
      <c r="BM226" s="404">
        <v>216436</v>
      </c>
      <c r="BN226" s="404">
        <v>0</v>
      </c>
      <c r="BO226" s="404">
        <v>0</v>
      </c>
      <c r="BP226" s="404">
        <v>0</v>
      </c>
      <c r="BQ226" s="404">
        <v>0</v>
      </c>
      <c r="BR226" s="404">
        <v>0</v>
      </c>
      <c r="BS226" s="404">
        <v>0</v>
      </c>
      <c r="BT226" s="404">
        <v>0</v>
      </c>
      <c r="BU226" s="404">
        <v>0</v>
      </c>
      <c r="BV226" s="404">
        <v>0</v>
      </c>
      <c r="BW226" s="404">
        <v>0</v>
      </c>
      <c r="BX226" s="404">
        <v>0</v>
      </c>
      <c r="BY226" s="404">
        <v>0</v>
      </c>
      <c r="BZ226" s="404">
        <v>0</v>
      </c>
      <c r="CA226" s="404">
        <v>0</v>
      </c>
      <c r="CB226" s="404">
        <v>22614</v>
      </c>
      <c r="CC226" s="404">
        <v>0</v>
      </c>
      <c r="CD226" s="404">
        <v>0</v>
      </c>
      <c r="CE226" s="404">
        <v>0</v>
      </c>
      <c r="CF226" s="404">
        <v>360234</v>
      </c>
      <c r="CG226" s="404">
        <v>0</v>
      </c>
      <c r="CH226" s="404">
        <v>0</v>
      </c>
      <c r="CI226" s="404">
        <v>0</v>
      </c>
      <c r="CJ226" s="404">
        <v>2941181</v>
      </c>
      <c r="CK226" s="404">
        <v>0</v>
      </c>
      <c r="CL226" s="404">
        <v>0</v>
      </c>
      <c r="CM226" s="404">
        <v>0</v>
      </c>
      <c r="CN226" s="404">
        <v>0</v>
      </c>
      <c r="CO226" s="404">
        <v>0</v>
      </c>
      <c r="CP226" s="404">
        <v>0</v>
      </c>
      <c r="CQ226" s="404">
        <v>0</v>
      </c>
      <c r="CR226" s="404">
        <v>0</v>
      </c>
    </row>
    <row r="227" spans="1:96" s="404" customFormat="1" x14ac:dyDescent="0.3">
      <c r="A227" s="404">
        <v>577</v>
      </c>
      <c r="B227" s="405">
        <v>577</v>
      </c>
      <c r="C227" s="404">
        <v>577</v>
      </c>
      <c r="D227" s="404" t="s">
        <v>644</v>
      </c>
      <c r="E227" s="404" t="s">
        <v>645</v>
      </c>
      <c r="F227" s="404">
        <v>0</v>
      </c>
      <c r="G227" s="404">
        <v>2</v>
      </c>
      <c r="H227" s="404">
        <v>2</v>
      </c>
      <c r="I227" s="404">
        <v>2</v>
      </c>
      <c r="J227" s="404">
        <v>2</v>
      </c>
      <c r="K227" s="404">
        <v>2</v>
      </c>
      <c r="L227" s="404">
        <v>2</v>
      </c>
      <c r="M227" s="404">
        <v>0</v>
      </c>
      <c r="N227" s="404">
        <v>0</v>
      </c>
      <c r="O227" s="404">
        <v>2</v>
      </c>
      <c r="P227" s="404">
        <v>2</v>
      </c>
      <c r="Q227" s="404">
        <v>0</v>
      </c>
      <c r="R227" s="404">
        <v>2</v>
      </c>
      <c r="S227" s="404">
        <v>2</v>
      </c>
      <c r="T227" s="404">
        <v>2</v>
      </c>
      <c r="U227" s="404">
        <v>2</v>
      </c>
      <c r="V227" s="404">
        <v>2</v>
      </c>
      <c r="W227" s="404">
        <v>2</v>
      </c>
      <c r="X227" s="404">
        <v>0</v>
      </c>
      <c r="Y227" s="404">
        <v>2</v>
      </c>
      <c r="Z227" s="404">
        <v>2</v>
      </c>
      <c r="AA227" s="404">
        <v>2</v>
      </c>
      <c r="AB227" s="404">
        <v>2</v>
      </c>
      <c r="AC227" s="404">
        <v>2</v>
      </c>
      <c r="AD227" s="404">
        <v>0</v>
      </c>
      <c r="AE227" s="404">
        <v>2</v>
      </c>
      <c r="AF227" s="404">
        <v>2</v>
      </c>
      <c r="AG227" s="404">
        <v>2</v>
      </c>
      <c r="AH227" s="404">
        <v>2</v>
      </c>
      <c r="AI227" s="404">
        <v>2</v>
      </c>
      <c r="AJ227" s="404">
        <v>2</v>
      </c>
      <c r="AK227" s="404">
        <v>2</v>
      </c>
      <c r="AL227" s="404">
        <v>2</v>
      </c>
      <c r="AM227" s="404">
        <v>1</v>
      </c>
      <c r="AN227" s="404">
        <v>2</v>
      </c>
      <c r="AO227" s="404">
        <v>2</v>
      </c>
      <c r="AP227" s="404">
        <v>2</v>
      </c>
      <c r="AQ227" s="404">
        <v>2</v>
      </c>
      <c r="AR227" s="404">
        <v>0</v>
      </c>
      <c r="AS227" s="404">
        <v>0</v>
      </c>
      <c r="AT227" s="404">
        <v>2</v>
      </c>
      <c r="AU227" s="404">
        <v>2</v>
      </c>
      <c r="AV227" s="404">
        <v>2</v>
      </c>
      <c r="AW227" s="404">
        <v>0</v>
      </c>
      <c r="AX227" s="404">
        <v>2</v>
      </c>
      <c r="AY227" s="404">
        <v>2</v>
      </c>
      <c r="AZ227" s="404">
        <v>2</v>
      </c>
      <c r="BA227" s="404">
        <v>2</v>
      </c>
      <c r="BB227" s="404">
        <v>2</v>
      </c>
      <c r="BC227" s="404">
        <v>2</v>
      </c>
      <c r="BD227" s="404">
        <v>2</v>
      </c>
      <c r="BE227" s="404">
        <v>1</v>
      </c>
      <c r="BF227" s="404">
        <v>2</v>
      </c>
      <c r="BG227" s="404">
        <v>2</v>
      </c>
      <c r="BH227" s="404">
        <v>2</v>
      </c>
      <c r="BI227" s="404">
        <v>2</v>
      </c>
      <c r="BJ227" s="404">
        <v>2</v>
      </c>
      <c r="BK227" s="404">
        <v>2</v>
      </c>
      <c r="BL227" s="404">
        <v>2</v>
      </c>
      <c r="BM227" s="404">
        <v>2</v>
      </c>
      <c r="BN227" s="404">
        <v>0</v>
      </c>
      <c r="BO227" s="404">
        <v>2</v>
      </c>
      <c r="BP227" s="404">
        <v>2</v>
      </c>
      <c r="BQ227" s="404">
        <v>2</v>
      </c>
      <c r="BR227" s="404">
        <v>2</v>
      </c>
      <c r="BS227" s="404">
        <v>2</v>
      </c>
      <c r="BT227" s="404">
        <v>2</v>
      </c>
      <c r="BU227" s="404">
        <v>2</v>
      </c>
      <c r="BV227" s="404">
        <v>2</v>
      </c>
      <c r="BW227" s="404">
        <v>0</v>
      </c>
      <c r="BX227" s="404">
        <v>2</v>
      </c>
      <c r="BY227" s="404">
        <v>2</v>
      </c>
      <c r="BZ227" s="404">
        <v>0</v>
      </c>
      <c r="CA227" s="404">
        <v>0</v>
      </c>
      <c r="CB227" s="404">
        <v>1</v>
      </c>
      <c r="CC227" s="404">
        <v>2</v>
      </c>
      <c r="CD227" s="404">
        <v>2</v>
      </c>
      <c r="CE227" s="404">
        <v>2</v>
      </c>
      <c r="CF227" s="404">
        <v>2</v>
      </c>
      <c r="CG227" s="404">
        <v>2</v>
      </c>
      <c r="CH227" s="404">
        <v>2</v>
      </c>
      <c r="CI227" s="404">
        <v>0</v>
      </c>
      <c r="CJ227" s="404">
        <v>1</v>
      </c>
      <c r="CK227" s="404">
        <v>2</v>
      </c>
      <c r="CL227" s="404">
        <v>2</v>
      </c>
      <c r="CM227" s="404">
        <v>0</v>
      </c>
      <c r="CN227" s="404">
        <v>2</v>
      </c>
      <c r="CO227" s="404">
        <v>2</v>
      </c>
      <c r="CP227" s="404">
        <v>2</v>
      </c>
      <c r="CQ227" s="404">
        <v>2</v>
      </c>
      <c r="CR227" s="404">
        <v>2</v>
      </c>
    </row>
    <row r="228" spans="1:96" s="404" customFormat="1" x14ac:dyDescent="0.3">
      <c r="A228" s="404">
        <v>578</v>
      </c>
      <c r="B228" s="405">
        <v>578</v>
      </c>
      <c r="C228" s="404">
        <v>578</v>
      </c>
      <c r="D228" s="404" t="s">
        <v>646</v>
      </c>
      <c r="E228" s="404" t="s">
        <v>647</v>
      </c>
      <c r="F228" s="404">
        <v>0</v>
      </c>
      <c r="G228" s="404">
        <v>0</v>
      </c>
      <c r="H228" s="404">
        <v>0</v>
      </c>
      <c r="I228" s="404">
        <v>0</v>
      </c>
      <c r="J228" s="404">
        <v>0</v>
      </c>
      <c r="K228" s="404">
        <v>0</v>
      </c>
      <c r="L228" s="404">
        <v>0</v>
      </c>
      <c r="M228" s="404">
        <v>0</v>
      </c>
      <c r="N228" s="404">
        <v>0</v>
      </c>
      <c r="O228" s="404">
        <v>0</v>
      </c>
      <c r="P228" s="404">
        <v>0</v>
      </c>
      <c r="Q228" s="404">
        <v>0</v>
      </c>
      <c r="R228" s="404">
        <v>26994</v>
      </c>
      <c r="S228" s="404">
        <v>0</v>
      </c>
      <c r="T228" s="404">
        <v>0</v>
      </c>
      <c r="U228" s="404">
        <v>0</v>
      </c>
      <c r="V228" s="404">
        <v>0</v>
      </c>
      <c r="W228" s="404">
        <v>0</v>
      </c>
      <c r="X228" s="404">
        <v>0</v>
      </c>
      <c r="Y228" s="404">
        <v>0</v>
      </c>
      <c r="Z228" s="404">
        <v>0</v>
      </c>
      <c r="AA228" s="404">
        <v>0</v>
      </c>
      <c r="AB228" s="404">
        <v>0</v>
      </c>
      <c r="AC228" s="404">
        <v>0</v>
      </c>
      <c r="AD228" s="404">
        <v>0</v>
      </c>
      <c r="AE228" s="404">
        <v>0</v>
      </c>
      <c r="AF228" s="404">
        <v>0</v>
      </c>
      <c r="AG228" s="404">
        <v>0</v>
      </c>
      <c r="AH228" s="404">
        <v>0</v>
      </c>
      <c r="AI228" s="404">
        <v>0</v>
      </c>
      <c r="AJ228" s="404">
        <v>0</v>
      </c>
      <c r="AK228" s="404">
        <v>0</v>
      </c>
      <c r="AL228" s="404">
        <v>0</v>
      </c>
      <c r="AM228" s="404">
        <v>0</v>
      </c>
      <c r="AN228" s="404">
        <v>188174</v>
      </c>
      <c r="AO228" s="404">
        <v>0</v>
      </c>
      <c r="AP228" s="404">
        <v>0</v>
      </c>
      <c r="AQ228" s="404">
        <v>0</v>
      </c>
      <c r="AR228" s="404">
        <v>0</v>
      </c>
      <c r="AS228" s="404">
        <v>0</v>
      </c>
      <c r="AT228" s="404">
        <v>0</v>
      </c>
      <c r="AU228" s="404">
        <v>0</v>
      </c>
      <c r="AV228" s="404">
        <v>0</v>
      </c>
      <c r="AW228" s="404">
        <v>0</v>
      </c>
      <c r="AX228" s="404">
        <v>0</v>
      </c>
      <c r="AY228" s="404">
        <v>0</v>
      </c>
      <c r="AZ228" s="404">
        <v>0</v>
      </c>
      <c r="BA228" s="404">
        <v>0</v>
      </c>
      <c r="BB228" s="404">
        <v>0</v>
      </c>
      <c r="BC228" s="404">
        <v>0</v>
      </c>
      <c r="BD228" s="404">
        <v>0</v>
      </c>
      <c r="BE228" s="404">
        <v>0</v>
      </c>
      <c r="BF228" s="404">
        <v>0</v>
      </c>
      <c r="BG228" s="404">
        <v>0</v>
      </c>
      <c r="BH228" s="404">
        <v>0</v>
      </c>
      <c r="BI228" s="404">
        <v>0</v>
      </c>
      <c r="BJ228" s="404">
        <v>0</v>
      </c>
      <c r="BK228" s="404">
        <v>0</v>
      </c>
      <c r="BL228" s="404">
        <v>0</v>
      </c>
      <c r="BM228" s="404">
        <v>0</v>
      </c>
      <c r="BN228" s="404">
        <v>0</v>
      </c>
      <c r="BO228" s="404">
        <v>0</v>
      </c>
      <c r="BP228" s="404">
        <v>0</v>
      </c>
      <c r="BQ228" s="404">
        <v>0</v>
      </c>
      <c r="BR228" s="404">
        <v>0</v>
      </c>
      <c r="BS228" s="404">
        <v>0</v>
      </c>
      <c r="BT228" s="404">
        <v>0</v>
      </c>
      <c r="BU228" s="404">
        <v>0</v>
      </c>
      <c r="BV228" s="404">
        <v>0</v>
      </c>
      <c r="BW228" s="404">
        <v>0</v>
      </c>
      <c r="BX228" s="404">
        <v>0</v>
      </c>
      <c r="BY228" s="404">
        <v>0</v>
      </c>
      <c r="BZ228" s="404">
        <v>0</v>
      </c>
      <c r="CA228" s="404">
        <v>0</v>
      </c>
      <c r="CB228" s="404">
        <v>0</v>
      </c>
      <c r="CC228" s="404">
        <v>0</v>
      </c>
      <c r="CD228" s="404">
        <v>0</v>
      </c>
      <c r="CE228" s="404">
        <v>0</v>
      </c>
      <c r="CF228" s="404">
        <v>0</v>
      </c>
      <c r="CG228" s="404">
        <v>0</v>
      </c>
      <c r="CH228" s="404">
        <v>0</v>
      </c>
      <c r="CI228" s="404">
        <v>0</v>
      </c>
      <c r="CJ228" s="404">
        <v>0</v>
      </c>
      <c r="CK228" s="404">
        <v>0</v>
      </c>
      <c r="CL228" s="404">
        <v>0</v>
      </c>
      <c r="CM228" s="404">
        <v>0</v>
      </c>
      <c r="CN228" s="404">
        <v>0</v>
      </c>
      <c r="CO228" s="404">
        <v>0</v>
      </c>
      <c r="CP228" s="404">
        <v>0</v>
      </c>
      <c r="CQ228" s="404">
        <v>0</v>
      </c>
      <c r="CR228" s="404">
        <v>0</v>
      </c>
    </row>
    <row r="229" spans="1:96" s="404" customFormat="1" x14ac:dyDescent="0.3">
      <c r="A229" s="404">
        <v>579</v>
      </c>
      <c r="B229" s="405">
        <v>579</v>
      </c>
      <c r="C229" s="404">
        <v>579</v>
      </c>
      <c r="D229" s="404" t="s">
        <v>648</v>
      </c>
      <c r="E229" s="404" t="s">
        <v>649</v>
      </c>
      <c r="F229" s="404">
        <v>0</v>
      </c>
      <c r="G229" s="404">
        <v>0</v>
      </c>
      <c r="H229" s="404">
        <v>0</v>
      </c>
      <c r="I229" s="404">
        <v>0</v>
      </c>
      <c r="J229" s="404">
        <v>0</v>
      </c>
      <c r="K229" s="404">
        <v>0</v>
      </c>
      <c r="L229" s="404">
        <v>0</v>
      </c>
      <c r="M229" s="404">
        <v>0</v>
      </c>
      <c r="N229" s="404">
        <v>0</v>
      </c>
      <c r="O229" s="404">
        <v>0</v>
      </c>
      <c r="P229" s="404">
        <v>0</v>
      </c>
      <c r="Q229" s="404">
        <v>0</v>
      </c>
      <c r="R229" s="404">
        <v>0</v>
      </c>
      <c r="S229" s="404">
        <v>0</v>
      </c>
      <c r="T229" s="404">
        <v>0</v>
      </c>
      <c r="U229" s="404">
        <v>0</v>
      </c>
      <c r="V229" s="404">
        <v>0</v>
      </c>
      <c r="W229" s="404">
        <v>0</v>
      </c>
      <c r="X229" s="404">
        <v>0</v>
      </c>
      <c r="Y229" s="404">
        <v>0</v>
      </c>
      <c r="Z229" s="404">
        <v>0</v>
      </c>
      <c r="AA229" s="404">
        <v>0</v>
      </c>
      <c r="AB229" s="404">
        <v>0</v>
      </c>
      <c r="AC229" s="404">
        <v>0</v>
      </c>
      <c r="AD229" s="404">
        <v>0</v>
      </c>
      <c r="AE229" s="404">
        <v>0</v>
      </c>
      <c r="AF229" s="404">
        <v>0</v>
      </c>
      <c r="AG229" s="404">
        <v>0</v>
      </c>
      <c r="AH229" s="404">
        <v>0</v>
      </c>
      <c r="AI229" s="404">
        <v>0</v>
      </c>
      <c r="AJ229" s="404">
        <v>0</v>
      </c>
      <c r="AK229" s="404">
        <v>0</v>
      </c>
      <c r="AL229" s="404">
        <v>0</v>
      </c>
      <c r="AM229" s="404">
        <v>0</v>
      </c>
      <c r="AN229" s="404">
        <v>0</v>
      </c>
      <c r="AO229" s="404">
        <v>0</v>
      </c>
      <c r="AP229" s="404">
        <v>0</v>
      </c>
      <c r="AQ229" s="404">
        <v>0</v>
      </c>
      <c r="AR229" s="404">
        <v>0</v>
      </c>
      <c r="AS229" s="404">
        <v>0</v>
      </c>
      <c r="AT229" s="404">
        <v>0</v>
      </c>
      <c r="AU229" s="404">
        <v>0</v>
      </c>
      <c r="AV229" s="404">
        <v>0</v>
      </c>
      <c r="AW229" s="404">
        <v>0</v>
      </c>
      <c r="AX229" s="404">
        <v>0</v>
      </c>
      <c r="AY229" s="404">
        <v>0</v>
      </c>
      <c r="AZ229" s="404">
        <v>0</v>
      </c>
      <c r="BA229" s="404">
        <v>0</v>
      </c>
      <c r="BB229" s="404">
        <v>0</v>
      </c>
      <c r="BC229" s="404">
        <v>0</v>
      </c>
      <c r="BD229" s="404">
        <v>0</v>
      </c>
      <c r="BE229" s="404">
        <v>0</v>
      </c>
      <c r="BF229" s="404">
        <v>0</v>
      </c>
      <c r="BG229" s="404">
        <v>0</v>
      </c>
      <c r="BH229" s="404">
        <v>0</v>
      </c>
      <c r="BI229" s="404">
        <v>0</v>
      </c>
      <c r="BJ229" s="404">
        <v>0</v>
      </c>
      <c r="BK229" s="404">
        <v>0</v>
      </c>
      <c r="BL229" s="404">
        <v>0</v>
      </c>
      <c r="BM229" s="404">
        <v>0</v>
      </c>
      <c r="BN229" s="404">
        <v>0</v>
      </c>
      <c r="BO229" s="404">
        <v>0</v>
      </c>
      <c r="BP229" s="404">
        <v>0</v>
      </c>
      <c r="BQ229" s="404">
        <v>0</v>
      </c>
      <c r="BR229" s="404">
        <v>0</v>
      </c>
      <c r="BS229" s="404">
        <v>0</v>
      </c>
      <c r="BT229" s="404">
        <v>0</v>
      </c>
      <c r="BU229" s="404">
        <v>0</v>
      </c>
      <c r="BV229" s="404">
        <v>0</v>
      </c>
      <c r="BW229" s="404">
        <v>0</v>
      </c>
      <c r="BX229" s="404">
        <v>0</v>
      </c>
      <c r="BY229" s="404">
        <v>0</v>
      </c>
      <c r="BZ229" s="404">
        <v>0</v>
      </c>
      <c r="CA229" s="404">
        <v>0</v>
      </c>
      <c r="CB229" s="404">
        <v>113060</v>
      </c>
      <c r="CC229" s="404">
        <v>0</v>
      </c>
      <c r="CD229" s="404">
        <v>0</v>
      </c>
      <c r="CE229" s="404">
        <v>0</v>
      </c>
      <c r="CF229" s="404">
        <v>0</v>
      </c>
      <c r="CG229" s="404">
        <v>0</v>
      </c>
      <c r="CH229" s="404">
        <v>0</v>
      </c>
      <c r="CI229" s="404">
        <v>0</v>
      </c>
      <c r="CJ229" s="404">
        <v>0</v>
      </c>
      <c r="CK229" s="404">
        <v>0</v>
      </c>
      <c r="CL229" s="404">
        <v>0</v>
      </c>
      <c r="CM229" s="404">
        <v>0</v>
      </c>
      <c r="CN229" s="404">
        <v>0</v>
      </c>
      <c r="CO229" s="404">
        <v>0</v>
      </c>
      <c r="CP229" s="404">
        <v>0</v>
      </c>
      <c r="CQ229" s="404">
        <v>0</v>
      </c>
      <c r="CR229" s="404">
        <v>0</v>
      </c>
    </row>
    <row r="230" spans="1:96" s="404" customFormat="1" x14ac:dyDescent="0.3">
      <c r="A230" s="404">
        <v>580</v>
      </c>
      <c r="B230" s="405">
        <v>580</v>
      </c>
      <c r="C230" s="404">
        <v>580</v>
      </c>
      <c r="D230" s="404" t="s">
        <v>650</v>
      </c>
      <c r="E230" s="404" t="s">
        <v>651</v>
      </c>
      <c r="F230" s="404">
        <v>0</v>
      </c>
      <c r="G230" s="404">
        <v>0</v>
      </c>
      <c r="H230" s="404">
        <v>0</v>
      </c>
      <c r="I230" s="404">
        <v>0</v>
      </c>
      <c r="J230" s="404">
        <v>0</v>
      </c>
      <c r="K230" s="404">
        <v>0</v>
      </c>
      <c r="L230" s="404">
        <v>0</v>
      </c>
      <c r="M230" s="404">
        <v>0</v>
      </c>
      <c r="N230" s="404">
        <v>0</v>
      </c>
      <c r="O230" s="404">
        <v>0</v>
      </c>
      <c r="P230" s="404">
        <v>0</v>
      </c>
      <c r="Q230" s="404">
        <v>0</v>
      </c>
      <c r="R230" s="404">
        <v>0</v>
      </c>
      <c r="S230" s="404">
        <v>0</v>
      </c>
      <c r="T230" s="404">
        <v>0</v>
      </c>
      <c r="U230" s="404">
        <v>0</v>
      </c>
      <c r="V230" s="404">
        <v>0</v>
      </c>
      <c r="W230" s="404">
        <v>0</v>
      </c>
      <c r="X230" s="404">
        <v>0</v>
      </c>
      <c r="Y230" s="404">
        <v>0</v>
      </c>
      <c r="Z230" s="404">
        <v>0</v>
      </c>
      <c r="AA230" s="404">
        <v>0</v>
      </c>
      <c r="AB230" s="404">
        <v>0</v>
      </c>
      <c r="AC230" s="404">
        <v>0</v>
      </c>
      <c r="AD230" s="404">
        <v>0</v>
      </c>
      <c r="AE230" s="404">
        <v>0</v>
      </c>
      <c r="AF230" s="404">
        <v>0</v>
      </c>
      <c r="AG230" s="404">
        <v>0</v>
      </c>
      <c r="AH230" s="404">
        <v>0</v>
      </c>
      <c r="AI230" s="404">
        <v>0</v>
      </c>
      <c r="AJ230" s="404">
        <v>0</v>
      </c>
      <c r="AK230" s="404">
        <v>0</v>
      </c>
      <c r="AL230" s="404">
        <v>0</v>
      </c>
      <c r="AM230" s="404">
        <v>0</v>
      </c>
      <c r="AN230" s="404">
        <v>0</v>
      </c>
      <c r="AO230" s="404">
        <v>0</v>
      </c>
      <c r="AP230" s="404">
        <v>0</v>
      </c>
      <c r="AQ230" s="404">
        <v>0</v>
      </c>
      <c r="AR230" s="404">
        <v>0</v>
      </c>
      <c r="AS230" s="404">
        <v>0</v>
      </c>
      <c r="AT230" s="404">
        <v>0</v>
      </c>
      <c r="AU230" s="404">
        <v>0</v>
      </c>
      <c r="AV230" s="404">
        <v>0</v>
      </c>
      <c r="AW230" s="404">
        <v>0</v>
      </c>
      <c r="AX230" s="404">
        <v>0</v>
      </c>
      <c r="AY230" s="404">
        <v>0</v>
      </c>
      <c r="AZ230" s="404">
        <v>0</v>
      </c>
      <c r="BA230" s="404">
        <v>0</v>
      </c>
      <c r="BB230" s="404">
        <v>0</v>
      </c>
      <c r="BC230" s="404">
        <v>0</v>
      </c>
      <c r="BD230" s="404">
        <v>0</v>
      </c>
      <c r="BE230" s="404">
        <v>0</v>
      </c>
      <c r="BF230" s="404">
        <v>0</v>
      </c>
      <c r="BG230" s="404">
        <v>0</v>
      </c>
      <c r="BH230" s="404">
        <v>0</v>
      </c>
      <c r="BI230" s="404">
        <v>0</v>
      </c>
      <c r="BJ230" s="404">
        <v>0</v>
      </c>
      <c r="BK230" s="404">
        <v>0</v>
      </c>
      <c r="BL230" s="404">
        <v>0</v>
      </c>
      <c r="BM230" s="404">
        <v>0</v>
      </c>
      <c r="BN230" s="404">
        <v>0</v>
      </c>
      <c r="BO230" s="404">
        <v>0</v>
      </c>
      <c r="BP230" s="404">
        <v>0</v>
      </c>
      <c r="BQ230" s="404">
        <v>0</v>
      </c>
      <c r="BR230" s="404">
        <v>0</v>
      </c>
      <c r="BS230" s="404">
        <v>0</v>
      </c>
      <c r="BT230" s="404">
        <v>0</v>
      </c>
      <c r="BU230" s="404">
        <v>0</v>
      </c>
      <c r="BV230" s="404">
        <v>0</v>
      </c>
      <c r="BW230" s="404">
        <v>0</v>
      </c>
      <c r="BX230" s="404">
        <v>0</v>
      </c>
      <c r="BY230" s="404">
        <v>0</v>
      </c>
      <c r="BZ230" s="404">
        <v>0</v>
      </c>
      <c r="CA230" s="404">
        <v>0</v>
      </c>
      <c r="CB230" s="404">
        <v>0</v>
      </c>
      <c r="CC230" s="404">
        <v>0</v>
      </c>
      <c r="CD230" s="404">
        <v>0</v>
      </c>
      <c r="CE230" s="404">
        <v>0</v>
      </c>
      <c r="CF230" s="404">
        <v>0</v>
      </c>
      <c r="CG230" s="404">
        <v>0</v>
      </c>
      <c r="CH230" s="404">
        <v>0</v>
      </c>
      <c r="CI230" s="404">
        <v>0</v>
      </c>
      <c r="CJ230" s="404">
        <v>0</v>
      </c>
      <c r="CK230" s="404">
        <v>0</v>
      </c>
      <c r="CL230" s="404">
        <v>0</v>
      </c>
      <c r="CM230" s="404">
        <v>0</v>
      </c>
      <c r="CN230" s="404">
        <v>0</v>
      </c>
      <c r="CO230" s="404">
        <v>0</v>
      </c>
      <c r="CP230" s="404">
        <v>0</v>
      </c>
      <c r="CQ230" s="404">
        <v>0</v>
      </c>
      <c r="CR230" s="404">
        <v>0</v>
      </c>
    </row>
    <row r="231" spans="1:96" s="404" customFormat="1" x14ac:dyDescent="0.3">
      <c r="A231" s="404">
        <v>581</v>
      </c>
      <c r="B231" s="405">
        <v>581</v>
      </c>
      <c r="C231" s="404">
        <v>581</v>
      </c>
      <c r="D231" s="404" t="s">
        <v>652</v>
      </c>
      <c r="E231" s="404" t="s">
        <v>653</v>
      </c>
      <c r="F231" s="404">
        <v>0</v>
      </c>
      <c r="G231" s="404">
        <v>0</v>
      </c>
      <c r="H231" s="404">
        <v>0</v>
      </c>
      <c r="I231" s="404">
        <v>0</v>
      </c>
      <c r="J231" s="404">
        <v>0</v>
      </c>
      <c r="K231" s="404">
        <v>0</v>
      </c>
      <c r="L231" s="404">
        <v>5474161</v>
      </c>
      <c r="M231" s="404">
        <v>0</v>
      </c>
      <c r="N231" s="404">
        <v>0</v>
      </c>
      <c r="O231" s="404">
        <v>0</v>
      </c>
      <c r="P231" s="404">
        <v>0</v>
      </c>
      <c r="Q231" s="404">
        <v>0</v>
      </c>
      <c r="R231" s="404">
        <v>0</v>
      </c>
      <c r="S231" s="404">
        <v>0</v>
      </c>
      <c r="T231" s="404">
        <v>0</v>
      </c>
      <c r="U231" s="404">
        <v>0</v>
      </c>
      <c r="V231" s="404">
        <v>0</v>
      </c>
      <c r="W231" s="404">
        <v>0</v>
      </c>
      <c r="X231" s="404">
        <v>0</v>
      </c>
      <c r="Y231" s="404">
        <v>0</v>
      </c>
      <c r="Z231" s="404">
        <v>0</v>
      </c>
      <c r="AA231" s="404">
        <v>0</v>
      </c>
      <c r="AB231" s="404">
        <v>0</v>
      </c>
      <c r="AC231" s="404">
        <v>0</v>
      </c>
      <c r="AD231" s="404">
        <v>0</v>
      </c>
      <c r="AE231" s="404">
        <v>0</v>
      </c>
      <c r="AF231" s="404">
        <v>0</v>
      </c>
      <c r="AG231" s="404">
        <v>0</v>
      </c>
      <c r="AH231" s="404">
        <v>0</v>
      </c>
      <c r="AI231" s="404">
        <v>0</v>
      </c>
      <c r="AJ231" s="404">
        <v>0</v>
      </c>
      <c r="AK231" s="404">
        <v>0</v>
      </c>
      <c r="AL231" s="404">
        <v>0</v>
      </c>
      <c r="AM231" s="404">
        <v>0</v>
      </c>
      <c r="AN231" s="404">
        <v>0</v>
      </c>
      <c r="AO231" s="404">
        <v>0</v>
      </c>
      <c r="AP231" s="404">
        <v>0</v>
      </c>
      <c r="AQ231" s="404">
        <v>0</v>
      </c>
      <c r="AR231" s="404">
        <v>0</v>
      </c>
      <c r="AS231" s="404">
        <v>0</v>
      </c>
      <c r="AT231" s="404">
        <v>0</v>
      </c>
      <c r="AU231" s="404">
        <v>0</v>
      </c>
      <c r="AV231" s="404">
        <v>0</v>
      </c>
      <c r="AW231" s="404">
        <v>0</v>
      </c>
      <c r="AX231" s="404">
        <v>0</v>
      </c>
      <c r="AY231" s="404">
        <v>0</v>
      </c>
      <c r="AZ231" s="404">
        <v>0</v>
      </c>
      <c r="BA231" s="404">
        <v>0</v>
      </c>
      <c r="BB231" s="404">
        <v>0</v>
      </c>
      <c r="BC231" s="404">
        <v>0</v>
      </c>
      <c r="BD231" s="404">
        <v>0</v>
      </c>
      <c r="BE231" s="404">
        <v>0</v>
      </c>
      <c r="BF231" s="404">
        <v>107685</v>
      </c>
      <c r="BG231" s="404">
        <v>0</v>
      </c>
      <c r="BH231" s="404">
        <v>0</v>
      </c>
      <c r="BI231" s="404">
        <v>0</v>
      </c>
      <c r="BJ231" s="404">
        <v>0</v>
      </c>
      <c r="BK231" s="404">
        <v>0</v>
      </c>
      <c r="BL231" s="404">
        <v>0</v>
      </c>
      <c r="BM231" s="404">
        <v>800000</v>
      </c>
      <c r="BN231" s="404">
        <v>0</v>
      </c>
      <c r="BO231" s="404">
        <v>0</v>
      </c>
      <c r="BP231" s="404">
        <v>0</v>
      </c>
      <c r="BQ231" s="404">
        <v>0</v>
      </c>
      <c r="BR231" s="404">
        <v>0</v>
      </c>
      <c r="BS231" s="404">
        <v>0</v>
      </c>
      <c r="BT231" s="404">
        <v>0</v>
      </c>
      <c r="BU231" s="404">
        <v>0</v>
      </c>
      <c r="BV231" s="404">
        <v>0</v>
      </c>
      <c r="BW231" s="404">
        <v>0</v>
      </c>
      <c r="BX231" s="404">
        <v>0</v>
      </c>
      <c r="BY231" s="404">
        <v>0</v>
      </c>
      <c r="BZ231" s="404">
        <v>0</v>
      </c>
      <c r="CA231" s="404">
        <v>0</v>
      </c>
      <c r="CB231" s="404">
        <v>0</v>
      </c>
      <c r="CC231" s="404">
        <v>0</v>
      </c>
      <c r="CD231" s="404">
        <v>0</v>
      </c>
      <c r="CE231" s="404">
        <v>0</v>
      </c>
      <c r="CF231" s="404">
        <v>0</v>
      </c>
      <c r="CG231" s="404">
        <v>0</v>
      </c>
      <c r="CH231" s="404">
        <v>0</v>
      </c>
      <c r="CI231" s="404">
        <v>0</v>
      </c>
      <c r="CJ231" s="404">
        <v>0</v>
      </c>
      <c r="CK231" s="404">
        <v>0</v>
      </c>
      <c r="CL231" s="404">
        <v>0</v>
      </c>
      <c r="CM231" s="404">
        <v>0</v>
      </c>
      <c r="CN231" s="404">
        <v>0</v>
      </c>
      <c r="CO231" s="404">
        <v>0</v>
      </c>
      <c r="CP231" s="404">
        <v>0</v>
      </c>
      <c r="CQ231" s="404">
        <v>0</v>
      </c>
      <c r="CR231" s="404">
        <v>0</v>
      </c>
    </row>
    <row r="232" spans="1:96" s="404" customFormat="1" x14ac:dyDescent="0.3">
      <c r="A232" s="404">
        <v>582</v>
      </c>
      <c r="B232" s="405"/>
      <c r="C232" s="404">
        <v>582</v>
      </c>
      <c r="D232" s="404" t="s">
        <v>654</v>
      </c>
      <c r="E232" s="404" t="s">
        <v>655</v>
      </c>
    </row>
    <row r="233" spans="1:96" s="404" customFormat="1" x14ac:dyDescent="0.3">
      <c r="A233" s="404">
        <v>583</v>
      </c>
      <c r="B233" s="405"/>
      <c r="C233" s="404">
        <v>583</v>
      </c>
      <c r="D233" s="404" t="s">
        <v>656</v>
      </c>
      <c r="E233" s="404" t="s">
        <v>657</v>
      </c>
    </row>
    <row r="234" spans="1:96" s="404" customFormat="1" x14ac:dyDescent="0.3">
      <c r="A234" s="404">
        <v>584</v>
      </c>
      <c r="B234" s="405"/>
      <c r="C234" s="404">
        <v>584</v>
      </c>
      <c r="D234" s="404" t="s">
        <v>658</v>
      </c>
      <c r="E234" s="404" t="s">
        <v>659</v>
      </c>
    </row>
    <row r="235" spans="1:96" s="404" customFormat="1" x14ac:dyDescent="0.3">
      <c r="A235" s="404">
        <v>585</v>
      </c>
      <c r="B235" s="405"/>
      <c r="C235" s="404">
        <v>585</v>
      </c>
      <c r="D235" s="404" t="s">
        <v>660</v>
      </c>
      <c r="E235" s="404" t="s">
        <v>661</v>
      </c>
    </row>
    <row r="236" spans="1:96" s="404" customFormat="1" x14ac:dyDescent="0.3">
      <c r="A236" s="404">
        <v>586</v>
      </c>
      <c r="B236" s="405">
        <v>586</v>
      </c>
      <c r="C236" s="404">
        <v>586</v>
      </c>
      <c r="D236" s="404" t="s">
        <v>662</v>
      </c>
      <c r="E236" s="404" t="s">
        <v>663</v>
      </c>
      <c r="F236" s="404">
        <v>0</v>
      </c>
      <c r="G236" s="404">
        <v>0</v>
      </c>
      <c r="H236" s="404">
        <v>0</v>
      </c>
      <c r="I236" s="404">
        <v>0</v>
      </c>
      <c r="J236" s="404">
        <v>0</v>
      </c>
      <c r="K236" s="404">
        <v>0</v>
      </c>
      <c r="L236" s="404">
        <v>0</v>
      </c>
      <c r="M236" s="404">
        <v>0</v>
      </c>
      <c r="N236" s="404">
        <v>0</v>
      </c>
      <c r="O236" s="404">
        <v>0</v>
      </c>
      <c r="P236" s="404">
        <v>0</v>
      </c>
      <c r="Q236" s="404">
        <v>0</v>
      </c>
      <c r="R236" s="404">
        <v>26994</v>
      </c>
      <c r="S236" s="404">
        <v>0</v>
      </c>
      <c r="T236" s="404">
        <v>0</v>
      </c>
      <c r="U236" s="404">
        <v>0</v>
      </c>
      <c r="V236" s="404">
        <v>189476</v>
      </c>
      <c r="W236" s="404">
        <v>0</v>
      </c>
      <c r="X236" s="404">
        <v>0</v>
      </c>
      <c r="Y236" s="404">
        <v>0</v>
      </c>
      <c r="Z236" s="404">
        <v>0</v>
      </c>
      <c r="AA236" s="404">
        <v>0</v>
      </c>
      <c r="AB236" s="404">
        <v>0</v>
      </c>
      <c r="AC236" s="404">
        <v>0</v>
      </c>
      <c r="AD236" s="404">
        <v>439968</v>
      </c>
      <c r="AE236" s="404">
        <v>0</v>
      </c>
      <c r="AF236" s="404">
        <v>0</v>
      </c>
      <c r="AG236" s="404">
        <v>0</v>
      </c>
      <c r="AH236" s="404">
        <v>0</v>
      </c>
      <c r="AI236" s="404">
        <v>0</v>
      </c>
      <c r="AJ236" s="404">
        <v>0</v>
      </c>
      <c r="AK236" s="404">
        <v>0</v>
      </c>
      <c r="AL236" s="404">
        <v>0</v>
      </c>
      <c r="AM236" s="404">
        <v>0</v>
      </c>
      <c r="AN236" s="404">
        <v>249311</v>
      </c>
      <c r="AO236" s="404">
        <v>0</v>
      </c>
      <c r="AP236" s="404">
        <v>0</v>
      </c>
      <c r="AQ236" s="404">
        <v>0</v>
      </c>
      <c r="AR236" s="404">
        <v>0</v>
      </c>
      <c r="AS236" s="404">
        <v>0</v>
      </c>
      <c r="AT236" s="404">
        <v>0</v>
      </c>
      <c r="AU236" s="404">
        <v>0</v>
      </c>
      <c r="AV236" s="404">
        <v>0</v>
      </c>
      <c r="AW236" s="404">
        <v>0</v>
      </c>
      <c r="AX236" s="404">
        <v>0</v>
      </c>
      <c r="AY236" s="404">
        <v>0</v>
      </c>
      <c r="AZ236" s="404">
        <v>416667</v>
      </c>
      <c r="BA236" s="404">
        <v>0</v>
      </c>
      <c r="BB236" s="404">
        <v>0</v>
      </c>
      <c r="BC236" s="404">
        <v>0</v>
      </c>
      <c r="BD236" s="404">
        <v>0</v>
      </c>
      <c r="BE236" s="404">
        <v>0</v>
      </c>
      <c r="BF236" s="404">
        <v>0</v>
      </c>
      <c r="BG236" s="404">
        <v>32496</v>
      </c>
      <c r="BH236" s="404">
        <v>0</v>
      </c>
      <c r="BI236" s="404">
        <v>0</v>
      </c>
      <c r="BJ236" s="404">
        <v>0</v>
      </c>
      <c r="BK236" s="404">
        <v>0</v>
      </c>
      <c r="BL236" s="404">
        <v>0</v>
      </c>
      <c r="BM236" s="404">
        <v>0</v>
      </c>
      <c r="BN236" s="404">
        <v>0</v>
      </c>
      <c r="BO236" s="404">
        <v>0</v>
      </c>
      <c r="BP236" s="404">
        <v>0</v>
      </c>
      <c r="BQ236" s="404">
        <v>0</v>
      </c>
      <c r="BR236" s="404">
        <v>0</v>
      </c>
      <c r="BS236" s="404">
        <v>0</v>
      </c>
      <c r="BT236" s="404">
        <v>0</v>
      </c>
      <c r="BU236" s="404">
        <v>0</v>
      </c>
      <c r="BV236" s="404">
        <v>0</v>
      </c>
      <c r="BW236" s="404">
        <v>0</v>
      </c>
      <c r="BX236" s="404">
        <v>0</v>
      </c>
      <c r="BY236" s="404">
        <v>0</v>
      </c>
      <c r="BZ236" s="404">
        <v>0</v>
      </c>
      <c r="CA236" s="404">
        <v>0</v>
      </c>
      <c r="CB236" s="404">
        <v>0</v>
      </c>
      <c r="CC236" s="404">
        <v>0</v>
      </c>
      <c r="CD236" s="404">
        <v>0</v>
      </c>
      <c r="CE236" s="404">
        <v>0</v>
      </c>
      <c r="CF236" s="404">
        <v>0</v>
      </c>
      <c r="CG236" s="404">
        <v>0</v>
      </c>
      <c r="CH236" s="404">
        <v>5597</v>
      </c>
      <c r="CI236" s="404">
        <v>0</v>
      </c>
      <c r="CJ236" s="404">
        <v>0</v>
      </c>
      <c r="CK236" s="404">
        <v>0</v>
      </c>
      <c r="CL236" s="404">
        <v>0</v>
      </c>
      <c r="CM236" s="404">
        <v>0</v>
      </c>
      <c r="CN236" s="404">
        <v>0</v>
      </c>
      <c r="CO236" s="404">
        <v>0</v>
      </c>
      <c r="CP236" s="404">
        <v>0</v>
      </c>
      <c r="CQ236" s="404">
        <v>0</v>
      </c>
      <c r="CR236" s="404">
        <v>0</v>
      </c>
    </row>
    <row r="237" spans="1:96" s="404" customFormat="1" x14ac:dyDescent="0.3">
      <c r="A237" s="404">
        <v>587</v>
      </c>
      <c r="B237" s="405"/>
      <c r="C237" s="404">
        <v>587</v>
      </c>
      <c r="D237" s="404" t="s">
        <v>664</v>
      </c>
      <c r="E237" s="404" t="s">
        <v>665</v>
      </c>
    </row>
    <row r="238" spans="1:96" s="404" customFormat="1" x14ac:dyDescent="0.3">
      <c r="A238" s="404">
        <v>588</v>
      </c>
      <c r="B238" s="405"/>
      <c r="C238" s="404">
        <v>588</v>
      </c>
      <c r="D238" s="404" t="s">
        <v>666</v>
      </c>
      <c r="E238" s="404" t="s">
        <v>667</v>
      </c>
    </row>
    <row r="239" spans="1:96" s="404" customFormat="1" x14ac:dyDescent="0.3">
      <c r="A239" s="404">
        <v>589</v>
      </c>
      <c r="B239" s="405"/>
      <c r="C239" s="404">
        <v>589</v>
      </c>
      <c r="D239" s="404" t="s">
        <v>668</v>
      </c>
      <c r="E239" s="404" t="s">
        <v>669</v>
      </c>
    </row>
    <row r="240" spans="1:96" s="404" customFormat="1" x14ac:dyDescent="0.3">
      <c r="A240" s="404">
        <v>590</v>
      </c>
      <c r="B240" s="405"/>
      <c r="C240" s="404">
        <v>590</v>
      </c>
      <c r="D240" s="404" t="s">
        <v>670</v>
      </c>
      <c r="E240" s="404" t="s">
        <v>671</v>
      </c>
    </row>
    <row r="241" spans="1:96" s="404" customFormat="1" x14ac:dyDescent="0.3">
      <c r="A241" s="404">
        <v>992</v>
      </c>
      <c r="B241" s="405"/>
      <c r="C241" s="404">
        <v>992</v>
      </c>
      <c r="E241" s="404" t="s">
        <v>602</v>
      </c>
    </row>
    <row r="242" spans="1:96" s="408" customFormat="1" x14ac:dyDescent="0.3">
      <c r="A242" s="408">
        <v>993</v>
      </c>
      <c r="B242" s="409"/>
      <c r="C242" s="408">
        <v>993</v>
      </c>
      <c r="D242" s="408" t="s">
        <v>514</v>
      </c>
      <c r="E242" s="408" t="s">
        <v>515</v>
      </c>
    </row>
    <row r="243" spans="1:96" s="408" customFormat="1" x14ac:dyDescent="0.3">
      <c r="A243" s="408">
        <v>994</v>
      </c>
      <c r="B243" s="409"/>
      <c r="C243" s="408">
        <v>994</v>
      </c>
      <c r="D243" s="408" t="s">
        <v>516</v>
      </c>
      <c r="E243" s="408" t="s">
        <v>517</v>
      </c>
    </row>
    <row r="244" spans="1:96" s="408" customFormat="1" x14ac:dyDescent="0.3">
      <c r="A244" s="408">
        <v>995</v>
      </c>
      <c r="B244" s="409">
        <v>995</v>
      </c>
      <c r="C244" s="408">
        <v>995</v>
      </c>
      <c r="D244" s="408" t="s">
        <v>518</v>
      </c>
      <c r="E244" s="408" t="s">
        <v>519</v>
      </c>
      <c r="F244" s="408">
        <v>0</v>
      </c>
      <c r="G244" s="408">
        <v>0</v>
      </c>
      <c r="H244" s="408">
        <v>0</v>
      </c>
      <c r="I244" s="408">
        <v>0</v>
      </c>
      <c r="J244" s="408">
        <v>0.09</v>
      </c>
      <c r="K244" s="408">
        <v>0</v>
      </c>
      <c r="L244" s="408">
        <v>7.0000000000000007E-2</v>
      </c>
      <c r="M244" s="408">
        <v>0</v>
      </c>
      <c r="N244" s="408">
        <v>0</v>
      </c>
      <c r="O244" s="408">
        <v>0</v>
      </c>
      <c r="P244" s="408">
        <v>0</v>
      </c>
      <c r="Q244" s="408">
        <v>0</v>
      </c>
      <c r="R244" s="408">
        <v>0</v>
      </c>
      <c r="S244" s="408">
        <v>0</v>
      </c>
      <c r="T244" s="408">
        <v>0</v>
      </c>
      <c r="U244" s="408">
        <v>0</v>
      </c>
      <c r="V244" s="408">
        <v>0</v>
      </c>
      <c r="W244" s="408">
        <v>0</v>
      </c>
      <c r="X244" s="408">
        <v>0</v>
      </c>
      <c r="Y244" s="408">
        <v>0</v>
      </c>
      <c r="Z244" s="408">
        <v>0</v>
      </c>
      <c r="AA244" s="408">
        <v>0</v>
      </c>
      <c r="AB244" s="408">
        <v>0.08</v>
      </c>
      <c r="AC244" s="408">
        <v>0</v>
      </c>
      <c r="AD244" s="408">
        <v>0</v>
      </c>
      <c r="AE244" s="408">
        <v>0</v>
      </c>
      <c r="AF244" s="408">
        <v>0</v>
      </c>
      <c r="AG244" s="408">
        <v>0</v>
      </c>
      <c r="AH244" s="408">
        <v>0</v>
      </c>
      <c r="AI244" s="408">
        <v>0</v>
      </c>
      <c r="AJ244" s="408">
        <v>0</v>
      </c>
      <c r="AK244" s="408">
        <v>0</v>
      </c>
      <c r="AL244" s="408">
        <v>0</v>
      </c>
      <c r="AM244" s="408">
        <v>0</v>
      </c>
      <c r="AN244" s="408">
        <v>0</v>
      </c>
      <c r="AO244" s="408">
        <v>0</v>
      </c>
      <c r="AP244" s="408">
        <v>0</v>
      </c>
      <c r="AQ244" s="408">
        <v>0</v>
      </c>
      <c r="AR244" s="408">
        <v>0</v>
      </c>
      <c r="AS244" s="408">
        <v>0</v>
      </c>
      <c r="AT244" s="408">
        <v>0</v>
      </c>
      <c r="AU244" s="408">
        <v>0</v>
      </c>
      <c r="AV244" s="408">
        <v>0</v>
      </c>
      <c r="AW244" s="408">
        <v>0</v>
      </c>
      <c r="AX244" s="408">
        <v>0</v>
      </c>
      <c r="AY244" s="408">
        <v>0</v>
      </c>
      <c r="AZ244" s="408">
        <v>0.08</v>
      </c>
      <c r="BA244" s="408">
        <v>0</v>
      </c>
      <c r="BB244" s="408">
        <v>0</v>
      </c>
      <c r="BC244" s="408">
        <v>0</v>
      </c>
      <c r="BD244" s="408">
        <v>0</v>
      </c>
      <c r="BE244" s="408">
        <v>0</v>
      </c>
      <c r="BF244" s="408">
        <v>0.09</v>
      </c>
      <c r="BG244" s="408">
        <v>0</v>
      </c>
      <c r="BH244" s="408">
        <v>0</v>
      </c>
      <c r="BI244" s="408">
        <v>0.08</v>
      </c>
      <c r="BJ244" s="408">
        <v>0</v>
      </c>
      <c r="BK244" s="408">
        <v>0</v>
      </c>
      <c r="BL244" s="408">
        <v>0</v>
      </c>
      <c r="BM244" s="408">
        <v>0.09</v>
      </c>
      <c r="BN244" s="408">
        <v>0</v>
      </c>
      <c r="BO244" s="408">
        <v>0</v>
      </c>
      <c r="BP244" s="408">
        <v>0</v>
      </c>
      <c r="BQ244" s="408">
        <v>0</v>
      </c>
      <c r="BR244" s="408">
        <v>0</v>
      </c>
      <c r="BS244" s="408">
        <v>0</v>
      </c>
      <c r="BT244" s="408">
        <v>0</v>
      </c>
      <c r="BU244" s="408">
        <v>0</v>
      </c>
      <c r="BV244" s="408">
        <v>0</v>
      </c>
      <c r="BW244" s="408">
        <v>0</v>
      </c>
      <c r="BX244" s="408">
        <v>0</v>
      </c>
      <c r="BY244" s="408">
        <v>0</v>
      </c>
      <c r="BZ244" s="408">
        <v>0</v>
      </c>
      <c r="CA244" s="408">
        <v>0</v>
      </c>
      <c r="CB244" s="408">
        <v>0</v>
      </c>
      <c r="CC244" s="408">
        <v>0</v>
      </c>
      <c r="CD244" s="408">
        <v>0.08</v>
      </c>
      <c r="CE244" s="408">
        <v>0</v>
      </c>
      <c r="CF244" s="408">
        <v>0.09</v>
      </c>
      <c r="CG244" s="408">
        <v>0</v>
      </c>
      <c r="CH244" s="408">
        <v>0</v>
      </c>
      <c r="CI244" s="408">
        <v>0</v>
      </c>
      <c r="CJ244" s="408">
        <v>0.09</v>
      </c>
      <c r="CK244" s="408">
        <v>0</v>
      </c>
      <c r="CL244" s="408">
        <v>0</v>
      </c>
      <c r="CM244" s="408">
        <v>0</v>
      </c>
      <c r="CN244" s="408">
        <v>0</v>
      </c>
      <c r="CO244" s="408">
        <v>0</v>
      </c>
      <c r="CP244" s="408">
        <v>0</v>
      </c>
      <c r="CQ244" s="408">
        <v>0</v>
      </c>
      <c r="CR244" s="408">
        <v>0</v>
      </c>
    </row>
    <row r="245" spans="1:96" s="408" customFormat="1" x14ac:dyDescent="0.3">
      <c r="A245" s="408">
        <v>996</v>
      </c>
      <c r="B245" s="409">
        <v>996</v>
      </c>
      <c r="C245" s="408">
        <v>996</v>
      </c>
      <c r="D245" s="408" t="s">
        <v>520</v>
      </c>
      <c r="E245" s="408" t="s">
        <v>521</v>
      </c>
      <c r="F245" s="408">
        <v>0</v>
      </c>
      <c r="G245" s="408">
        <v>0</v>
      </c>
      <c r="H245" s="408">
        <v>0.01</v>
      </c>
      <c r="I245" s="408">
        <v>0.01</v>
      </c>
      <c r="J245" s="408">
        <v>0.01</v>
      </c>
      <c r="K245" s="408">
        <v>0.01</v>
      </c>
      <c r="L245" s="408">
        <v>0.01</v>
      </c>
      <c r="M245" s="408">
        <v>0.01</v>
      </c>
      <c r="N245" s="408">
        <v>0</v>
      </c>
      <c r="O245" s="408">
        <v>0.01</v>
      </c>
      <c r="P245" s="408">
        <v>0.01</v>
      </c>
      <c r="Q245" s="408">
        <v>0</v>
      </c>
      <c r="R245" s="408">
        <v>0.01</v>
      </c>
      <c r="S245" s="408">
        <v>0</v>
      </c>
      <c r="T245" s="408">
        <v>0</v>
      </c>
      <c r="U245" s="408">
        <v>0</v>
      </c>
      <c r="V245" s="408">
        <v>0.01</v>
      </c>
      <c r="W245" s="408">
        <v>0</v>
      </c>
      <c r="X245" s="408">
        <v>0.01</v>
      </c>
      <c r="Y245" s="408">
        <v>0</v>
      </c>
      <c r="Z245" s="408">
        <v>0.01</v>
      </c>
      <c r="AA245" s="408">
        <v>0</v>
      </c>
      <c r="AB245" s="408">
        <v>0.01</v>
      </c>
      <c r="AC245" s="408">
        <v>0.01</v>
      </c>
      <c r="AD245" s="408">
        <v>0.01</v>
      </c>
      <c r="AE245" s="408">
        <v>0.01</v>
      </c>
      <c r="AF245" s="408">
        <v>0.01</v>
      </c>
      <c r="AG245" s="408">
        <v>0</v>
      </c>
      <c r="AH245" s="408">
        <v>0.01</v>
      </c>
      <c r="AI245" s="408">
        <v>0</v>
      </c>
      <c r="AJ245" s="408">
        <v>0.01</v>
      </c>
      <c r="AK245" s="408">
        <v>0.01</v>
      </c>
      <c r="AL245" s="408">
        <v>0.01</v>
      </c>
      <c r="AM245" s="408">
        <v>0.01</v>
      </c>
      <c r="AN245" s="408">
        <v>0.01</v>
      </c>
      <c r="AO245" s="408">
        <v>0.01</v>
      </c>
      <c r="AP245" s="408">
        <v>0</v>
      </c>
      <c r="AQ245" s="408">
        <v>0.01</v>
      </c>
      <c r="AR245" s="408">
        <v>0.01</v>
      </c>
      <c r="AS245" s="408">
        <v>0</v>
      </c>
      <c r="AT245" s="408">
        <v>0</v>
      </c>
      <c r="AU245" s="408">
        <v>0</v>
      </c>
      <c r="AV245" s="408">
        <v>0</v>
      </c>
      <c r="AW245" s="408">
        <v>0.01</v>
      </c>
      <c r="AX245" s="408">
        <v>0.01</v>
      </c>
      <c r="AY245" s="408">
        <v>0.01</v>
      </c>
      <c r="AZ245" s="408">
        <v>0</v>
      </c>
      <c r="BA245" s="408">
        <v>0</v>
      </c>
      <c r="BB245" s="408">
        <v>0.01</v>
      </c>
      <c r="BC245" s="408">
        <v>0</v>
      </c>
      <c r="BD245" s="408">
        <v>0.01</v>
      </c>
      <c r="BE245" s="408">
        <v>0.01</v>
      </c>
      <c r="BF245" s="408">
        <v>0.01</v>
      </c>
      <c r="BG245" s="408">
        <v>0.01</v>
      </c>
      <c r="BH245" s="408">
        <v>0.01</v>
      </c>
      <c r="BI245" s="408">
        <v>0.01</v>
      </c>
      <c r="BJ245" s="408">
        <v>0</v>
      </c>
      <c r="BK245" s="408">
        <v>0</v>
      </c>
      <c r="BL245" s="408">
        <v>0</v>
      </c>
      <c r="BM245" s="408">
        <v>0.01</v>
      </c>
      <c r="BN245" s="408">
        <v>0.01</v>
      </c>
      <c r="BO245" s="408">
        <v>0</v>
      </c>
      <c r="BP245" s="408">
        <v>0</v>
      </c>
      <c r="BQ245" s="408">
        <v>0.01</v>
      </c>
      <c r="BR245" s="408">
        <v>0</v>
      </c>
      <c r="BS245" s="408">
        <v>0</v>
      </c>
      <c r="BT245" s="408">
        <v>0</v>
      </c>
      <c r="BU245" s="408">
        <v>0.01</v>
      </c>
      <c r="BV245" s="408">
        <v>0</v>
      </c>
      <c r="BW245" s="408">
        <v>0.01</v>
      </c>
      <c r="BX245" s="408">
        <v>0.01</v>
      </c>
      <c r="BY245" s="408">
        <v>0.01</v>
      </c>
      <c r="BZ245" s="408">
        <v>0.01</v>
      </c>
      <c r="CA245" s="408">
        <v>0.01</v>
      </c>
      <c r="CB245" s="408">
        <v>0.01</v>
      </c>
      <c r="CC245" s="408">
        <v>0</v>
      </c>
      <c r="CD245" s="408">
        <v>0.01</v>
      </c>
      <c r="CE245" s="408">
        <v>0</v>
      </c>
      <c r="CF245" s="408">
        <v>0.01</v>
      </c>
      <c r="CG245" s="408">
        <v>0.01</v>
      </c>
      <c r="CH245" s="408">
        <v>0.01</v>
      </c>
      <c r="CI245" s="408">
        <v>0.01</v>
      </c>
      <c r="CJ245" s="408">
        <v>0.01</v>
      </c>
      <c r="CK245" s="408">
        <v>0.01</v>
      </c>
      <c r="CL245" s="408">
        <v>0</v>
      </c>
      <c r="CM245" s="408">
        <v>0.01</v>
      </c>
      <c r="CN245" s="408">
        <v>0.01</v>
      </c>
      <c r="CO245" s="408">
        <v>0.01</v>
      </c>
      <c r="CP245" s="408">
        <v>0.01</v>
      </c>
      <c r="CQ245" s="408">
        <v>0</v>
      </c>
      <c r="CR245" s="408">
        <v>0</v>
      </c>
    </row>
    <row r="246" spans="1:96" s="404" customFormat="1" x14ac:dyDescent="0.3">
      <c r="A246" s="404">
        <v>997</v>
      </c>
      <c r="B246" s="405"/>
      <c r="C246" s="404">
        <v>997</v>
      </c>
    </row>
    <row r="247" spans="1:96" s="404" customFormat="1" x14ac:dyDescent="0.3">
      <c r="A247" s="404">
        <v>998</v>
      </c>
      <c r="B247" s="405">
        <v>998</v>
      </c>
      <c r="C247" s="404">
        <v>998</v>
      </c>
      <c r="D247" s="404" t="s">
        <v>291</v>
      </c>
      <c r="E247" s="404" t="s">
        <v>522</v>
      </c>
      <c r="F247" s="404">
        <v>50</v>
      </c>
      <c r="G247" s="404">
        <v>50</v>
      </c>
      <c r="H247" s="404">
        <v>50</v>
      </c>
      <c r="I247" s="404">
        <v>50</v>
      </c>
      <c r="J247" s="404">
        <v>50</v>
      </c>
      <c r="K247" s="404">
        <v>50</v>
      </c>
      <c r="L247" s="404">
        <v>50</v>
      </c>
      <c r="M247" s="404">
        <v>50</v>
      </c>
      <c r="N247" s="404">
        <v>50</v>
      </c>
      <c r="O247" s="404">
        <v>50</v>
      </c>
      <c r="P247" s="404">
        <v>50</v>
      </c>
      <c r="Q247" s="404">
        <v>50</v>
      </c>
      <c r="R247" s="404">
        <v>50</v>
      </c>
      <c r="S247" s="404">
        <v>50</v>
      </c>
      <c r="T247" s="404">
        <v>50</v>
      </c>
      <c r="U247" s="404">
        <v>50</v>
      </c>
      <c r="V247" s="404">
        <v>50</v>
      </c>
      <c r="W247" s="404">
        <v>50</v>
      </c>
      <c r="X247" s="404">
        <v>50</v>
      </c>
      <c r="Y247" s="404">
        <v>50</v>
      </c>
      <c r="Z247" s="404">
        <v>50</v>
      </c>
      <c r="AA247" s="404">
        <v>50</v>
      </c>
      <c r="AB247" s="404">
        <v>50</v>
      </c>
      <c r="AC247" s="404">
        <v>50</v>
      </c>
      <c r="AD247" s="404">
        <v>50</v>
      </c>
      <c r="AE247" s="404">
        <v>50</v>
      </c>
      <c r="AF247" s="404">
        <v>50</v>
      </c>
      <c r="AG247" s="404">
        <v>50</v>
      </c>
      <c r="AH247" s="404">
        <v>50</v>
      </c>
      <c r="AI247" s="404">
        <v>50</v>
      </c>
      <c r="AJ247" s="404">
        <v>50</v>
      </c>
      <c r="AK247" s="404">
        <v>50</v>
      </c>
      <c r="AL247" s="404">
        <v>50</v>
      </c>
      <c r="AM247" s="404">
        <v>50</v>
      </c>
      <c r="AN247" s="404">
        <v>50</v>
      </c>
      <c r="AO247" s="404">
        <v>50</v>
      </c>
      <c r="AP247" s="404">
        <v>50</v>
      </c>
      <c r="AQ247" s="404">
        <v>50</v>
      </c>
      <c r="AR247" s="1142">
        <v>50</v>
      </c>
      <c r="AS247" s="404">
        <v>50</v>
      </c>
      <c r="AT247" s="404">
        <v>50</v>
      </c>
      <c r="AU247" s="404">
        <v>50</v>
      </c>
      <c r="AV247" s="404">
        <v>50</v>
      </c>
      <c r="AW247" s="404">
        <v>50</v>
      </c>
      <c r="AX247" s="404">
        <v>50</v>
      </c>
      <c r="AY247" s="404">
        <v>50</v>
      </c>
      <c r="AZ247" s="404">
        <v>50</v>
      </c>
      <c r="BA247" s="404">
        <v>50</v>
      </c>
      <c r="BB247" s="404">
        <v>50</v>
      </c>
      <c r="BC247" s="404">
        <v>50</v>
      </c>
      <c r="BD247" s="404">
        <v>50</v>
      </c>
      <c r="BE247" s="404">
        <v>50</v>
      </c>
      <c r="BF247" s="404">
        <v>50</v>
      </c>
      <c r="BG247" s="404">
        <v>50</v>
      </c>
      <c r="BH247" s="404">
        <v>50</v>
      </c>
      <c r="BI247" s="404">
        <v>50</v>
      </c>
      <c r="BJ247" s="404">
        <v>50</v>
      </c>
      <c r="BK247" s="404">
        <v>50</v>
      </c>
      <c r="BL247" s="404">
        <v>50</v>
      </c>
      <c r="BM247" s="404">
        <v>50</v>
      </c>
      <c r="BN247" s="404">
        <v>50</v>
      </c>
      <c r="BO247" s="404">
        <v>50</v>
      </c>
      <c r="BP247" s="404">
        <v>50</v>
      </c>
      <c r="BQ247" s="404">
        <v>50</v>
      </c>
      <c r="BR247" s="404">
        <v>50</v>
      </c>
      <c r="BS247" s="404">
        <v>50</v>
      </c>
      <c r="BT247" s="404">
        <v>50</v>
      </c>
      <c r="BU247" s="404">
        <v>50</v>
      </c>
      <c r="BV247" s="404">
        <v>50</v>
      </c>
      <c r="BW247" s="1142">
        <v>50</v>
      </c>
      <c r="BX247" s="404">
        <v>50</v>
      </c>
      <c r="BY247" s="404">
        <v>50</v>
      </c>
      <c r="BZ247" s="404">
        <v>50</v>
      </c>
      <c r="CA247" s="1142">
        <v>50</v>
      </c>
      <c r="CB247" s="404">
        <v>50</v>
      </c>
      <c r="CC247" s="404">
        <v>50</v>
      </c>
      <c r="CD247" s="404">
        <v>50</v>
      </c>
      <c r="CE247" s="404">
        <v>50</v>
      </c>
      <c r="CF247" s="404">
        <v>50</v>
      </c>
      <c r="CG247" s="404">
        <v>50</v>
      </c>
      <c r="CH247" s="404">
        <v>50</v>
      </c>
      <c r="CI247" s="404">
        <v>50</v>
      </c>
      <c r="CJ247" s="404">
        <v>50</v>
      </c>
      <c r="CK247" s="404">
        <v>50</v>
      </c>
      <c r="CL247" s="404">
        <v>50</v>
      </c>
      <c r="CM247" s="404">
        <v>50</v>
      </c>
      <c r="CN247" s="404">
        <v>50</v>
      </c>
      <c r="CO247" s="404">
        <v>50</v>
      </c>
      <c r="CP247" s="404">
        <v>50</v>
      </c>
      <c r="CQ247" s="404">
        <v>50</v>
      </c>
      <c r="CR247" s="404">
        <v>50</v>
      </c>
    </row>
    <row r="248" spans="1:96" s="404" customFormat="1" x14ac:dyDescent="0.3">
      <c r="A248" s="404">
        <v>999</v>
      </c>
      <c r="B248" s="405">
        <v>999</v>
      </c>
      <c r="C248" s="404">
        <v>999</v>
      </c>
      <c r="D248" s="404" t="s">
        <v>292</v>
      </c>
      <c r="E248" s="404" t="s">
        <v>523</v>
      </c>
      <c r="F248" s="404">
        <v>50372</v>
      </c>
      <c r="G248" s="404">
        <v>50457</v>
      </c>
      <c r="H248" s="404">
        <v>50373</v>
      </c>
      <c r="I248" s="404">
        <v>50374</v>
      </c>
      <c r="J248" s="404">
        <v>50375</v>
      </c>
      <c r="K248" s="404">
        <v>50376</v>
      </c>
      <c r="L248" s="404">
        <v>50377</v>
      </c>
      <c r="M248" s="404">
        <v>50378</v>
      </c>
      <c r="N248" s="404">
        <v>50379</v>
      </c>
      <c r="O248" s="404">
        <v>50530</v>
      </c>
      <c r="P248" s="404">
        <v>50380</v>
      </c>
      <c r="Q248" s="404">
        <v>50483</v>
      </c>
      <c r="R248" s="404">
        <v>50381</v>
      </c>
      <c r="S248" s="404">
        <v>50501</v>
      </c>
      <c r="T248" s="404">
        <v>50494</v>
      </c>
      <c r="U248" s="404">
        <v>50382</v>
      </c>
      <c r="V248" s="404">
        <v>50383</v>
      </c>
      <c r="W248" s="404">
        <v>50384</v>
      </c>
      <c r="X248" s="404">
        <v>50557</v>
      </c>
      <c r="Y248" s="404">
        <v>50385</v>
      </c>
      <c r="Z248" s="404">
        <v>50386</v>
      </c>
      <c r="AA248" s="404">
        <v>50388</v>
      </c>
      <c r="AB248" s="404">
        <v>50387</v>
      </c>
      <c r="AC248" s="404">
        <v>50389</v>
      </c>
      <c r="AD248" s="404">
        <v>50500</v>
      </c>
      <c r="AE248" s="404">
        <v>50390</v>
      </c>
      <c r="AF248" s="404">
        <v>50391</v>
      </c>
      <c r="AG248" s="404">
        <v>50531</v>
      </c>
      <c r="AH248" s="404">
        <v>50392</v>
      </c>
      <c r="AI248" s="404">
        <v>50458</v>
      </c>
      <c r="AJ248" s="404">
        <v>50393</v>
      </c>
      <c r="AK248" s="404">
        <v>50544</v>
      </c>
      <c r="AL248" s="404">
        <v>50394</v>
      </c>
      <c r="AM248" s="404">
        <v>50395</v>
      </c>
      <c r="AN248" s="404">
        <v>50396</v>
      </c>
      <c r="AO248" s="404">
        <v>50397</v>
      </c>
      <c r="AP248" s="404">
        <v>50550</v>
      </c>
      <c r="AQ248" s="404">
        <v>50398</v>
      </c>
      <c r="AR248" s="1142">
        <v>50399</v>
      </c>
      <c r="AS248" s="404">
        <v>50400</v>
      </c>
      <c r="AT248" s="404">
        <v>50532</v>
      </c>
      <c r="AU248" s="404">
        <v>50401</v>
      </c>
      <c r="AV248" s="404">
        <v>50402</v>
      </c>
      <c r="AW248" s="404">
        <v>50485</v>
      </c>
      <c r="AX248" s="404">
        <v>50403</v>
      </c>
      <c r="AY248" s="404">
        <v>50404</v>
      </c>
      <c r="AZ248" s="404">
        <v>50405</v>
      </c>
      <c r="BA248" s="404">
        <v>50533</v>
      </c>
      <c r="BB248" s="404">
        <v>50406</v>
      </c>
      <c r="BC248" s="404">
        <v>50565</v>
      </c>
      <c r="BD248" s="404">
        <v>50411</v>
      </c>
      <c r="BE248" s="404">
        <v>50486</v>
      </c>
      <c r="BF248" s="404">
        <v>50408</v>
      </c>
      <c r="BG248" s="404">
        <v>50409</v>
      </c>
      <c r="BH248" s="404">
        <v>50410</v>
      </c>
      <c r="BI248" s="404">
        <v>50411</v>
      </c>
      <c r="BJ248" s="404">
        <v>50412</v>
      </c>
      <c r="BK248" s="404">
        <v>50488</v>
      </c>
      <c r="BL248" s="404">
        <v>50413</v>
      </c>
      <c r="BM248" s="404">
        <v>50414</v>
      </c>
      <c r="BN248" s="404">
        <v>50415</v>
      </c>
      <c r="BO248" s="404">
        <v>50416</v>
      </c>
      <c r="BP248" s="404">
        <v>50534</v>
      </c>
      <c r="BQ248" s="404">
        <v>50417</v>
      </c>
      <c r="BR248" s="404">
        <v>50418</v>
      </c>
      <c r="BS248" s="404">
        <v>50546</v>
      </c>
      <c r="BT248" s="404">
        <v>50552</v>
      </c>
      <c r="BU248" s="404">
        <v>50419</v>
      </c>
      <c r="BV248" s="404">
        <v>50441</v>
      </c>
      <c r="BW248" s="1142">
        <v>50420</v>
      </c>
      <c r="BX248" s="404">
        <v>50421</v>
      </c>
      <c r="BY248" s="404">
        <v>50422</v>
      </c>
      <c r="BZ248" s="404">
        <v>50535</v>
      </c>
      <c r="CA248" s="1142">
        <v>50423</v>
      </c>
      <c r="CB248" s="404">
        <v>50424</v>
      </c>
      <c r="CC248" s="404">
        <v>50425</v>
      </c>
      <c r="CD248" s="404">
        <v>50426</v>
      </c>
      <c r="CE248" s="404">
        <v>50537</v>
      </c>
      <c r="CF248" s="404">
        <v>50427</v>
      </c>
      <c r="CG248" s="404">
        <v>50428</v>
      </c>
      <c r="CH248" s="404">
        <v>50429</v>
      </c>
      <c r="CI248" s="404">
        <v>50431</v>
      </c>
      <c r="CJ248" s="404">
        <v>50430</v>
      </c>
      <c r="CK248" s="404">
        <v>50432</v>
      </c>
      <c r="CL248" s="404">
        <v>50453</v>
      </c>
      <c r="CM248" s="404">
        <v>50433</v>
      </c>
      <c r="CN248" s="404">
        <v>50435</v>
      </c>
      <c r="CO248" s="404">
        <v>50436</v>
      </c>
      <c r="CP248" s="404">
        <v>50499</v>
      </c>
      <c r="CQ248" s="404">
        <v>50438</v>
      </c>
      <c r="CR248" s="404">
        <v>50439</v>
      </c>
    </row>
    <row r="249" spans="1:96" x14ac:dyDescent="0.3">
      <c r="A249" s="99">
        <v>1000</v>
      </c>
      <c r="C249" s="99">
        <v>1000</v>
      </c>
      <c r="H249" s="99" t="s">
        <v>1782</v>
      </c>
      <c r="I249" s="99" t="s">
        <v>1782</v>
      </c>
      <c r="J249" s="99" t="s">
        <v>1782</v>
      </c>
      <c r="K249" s="99" t="s">
        <v>1782</v>
      </c>
      <c r="L249" s="99" t="s">
        <v>1782</v>
      </c>
      <c r="M249" s="99" t="s">
        <v>1782</v>
      </c>
      <c r="O249" s="99" t="s">
        <v>1782</v>
      </c>
      <c r="P249" s="99" t="s">
        <v>1782</v>
      </c>
      <c r="R249" s="99" t="s">
        <v>1782</v>
      </c>
      <c r="V249" s="99" t="s">
        <v>1782</v>
      </c>
      <c r="X249" s="99" t="s">
        <v>1782</v>
      </c>
      <c r="Z249" s="99" t="s">
        <v>1782</v>
      </c>
      <c r="AB249" s="99" t="s">
        <v>1782</v>
      </c>
      <c r="AC249" s="99" t="s">
        <v>1782</v>
      </c>
      <c r="AD249" s="99" t="s">
        <v>1782</v>
      </c>
      <c r="AE249" s="99" t="s">
        <v>1782</v>
      </c>
      <c r="AF249" s="99" t="s">
        <v>1782</v>
      </c>
      <c r="AH249" s="99" t="s">
        <v>1782</v>
      </c>
      <c r="AJ249" s="99" t="s">
        <v>1782</v>
      </c>
      <c r="AK249" s="99" t="s">
        <v>1782</v>
      </c>
      <c r="AL249" s="99" t="s">
        <v>1782</v>
      </c>
      <c r="AM249" s="99" t="s">
        <v>1782</v>
      </c>
      <c r="AN249" s="99" t="s">
        <v>1782</v>
      </c>
      <c r="AO249" s="99" t="s">
        <v>1782</v>
      </c>
      <c r="AQ249" s="99" t="s">
        <v>1782</v>
      </c>
      <c r="AR249" s="99" t="s">
        <v>1782</v>
      </c>
      <c r="AW249" s="99" t="s">
        <v>1782</v>
      </c>
      <c r="AX249" s="99" t="s">
        <v>1782</v>
      </c>
      <c r="AY249" s="99" t="s">
        <v>1782</v>
      </c>
      <c r="BB249" s="99" t="s">
        <v>1782</v>
      </c>
      <c r="BD249" s="99" t="s">
        <v>1782</v>
      </c>
      <c r="BE249" s="99" t="s">
        <v>1782</v>
      </c>
      <c r="BF249" s="99" t="s">
        <v>1782</v>
      </c>
      <c r="BG249" s="99" t="s">
        <v>1782</v>
      </c>
      <c r="BH249" s="99" t="s">
        <v>1782</v>
      </c>
      <c r="BI249" s="99" t="s">
        <v>1782</v>
      </c>
      <c r="BM249" s="99" t="s">
        <v>1782</v>
      </c>
      <c r="BN249" s="99" t="s">
        <v>1782</v>
      </c>
      <c r="BQ249" s="99" t="s">
        <v>1782</v>
      </c>
      <c r="BU249" s="99" t="s">
        <v>1782</v>
      </c>
      <c r="BW249" s="99" t="s">
        <v>1782</v>
      </c>
      <c r="BX249" s="99" t="s">
        <v>1782</v>
      </c>
      <c r="BY249" s="99" t="s">
        <v>1782</v>
      </c>
      <c r="BZ249" s="99" t="s">
        <v>1782</v>
      </c>
      <c r="CA249" s="99" t="s">
        <v>1782</v>
      </c>
      <c r="CB249" s="99" t="s">
        <v>1782</v>
      </c>
      <c r="CD249" s="99" t="s">
        <v>1782</v>
      </c>
      <c r="CF249" s="99" t="s">
        <v>1782</v>
      </c>
      <c r="CG249" s="99" t="s">
        <v>1782</v>
      </c>
      <c r="CH249" s="99" t="s">
        <v>1782</v>
      </c>
      <c r="CI249" s="99" t="s">
        <v>1782</v>
      </c>
      <c r="CJ249" s="99" t="s">
        <v>1782</v>
      </c>
      <c r="CK249" s="99" t="s">
        <v>1782</v>
      </c>
      <c r="CM249" s="99" t="s">
        <v>1782</v>
      </c>
      <c r="CN249" s="99" t="s">
        <v>1782</v>
      </c>
      <c r="CO249" s="99" t="s">
        <v>1782</v>
      </c>
      <c r="CP249" s="99" t="s">
        <v>1782</v>
      </c>
    </row>
    <row r="250" spans="1:96" x14ac:dyDescent="0.3">
      <c r="A250" s="99">
        <v>537</v>
      </c>
      <c r="C250" s="99">
        <v>537</v>
      </c>
      <c r="F250" s="99" t="s">
        <v>52</v>
      </c>
      <c r="G250" s="99" t="s">
        <v>52</v>
      </c>
      <c r="H250" s="99" t="s">
        <v>52</v>
      </c>
      <c r="I250" s="99" t="s">
        <v>52</v>
      </c>
      <c r="J250" s="99" t="s">
        <v>51</v>
      </c>
      <c r="K250" s="99" t="s">
        <v>51</v>
      </c>
      <c r="L250" s="99" t="s">
        <v>52</v>
      </c>
      <c r="M250" s="99" t="s">
        <v>52</v>
      </c>
      <c r="N250" s="99" t="s">
        <v>52</v>
      </c>
      <c r="O250" s="99" t="s">
        <v>52</v>
      </c>
      <c r="P250" s="99" t="s">
        <v>52</v>
      </c>
      <c r="Q250" s="99" t="s">
        <v>52</v>
      </c>
      <c r="R250" s="99" t="s">
        <v>52</v>
      </c>
      <c r="S250" s="99" t="s">
        <v>52</v>
      </c>
      <c r="T250" s="99" t="s">
        <v>52</v>
      </c>
      <c r="U250" s="99" t="s">
        <v>52</v>
      </c>
      <c r="V250" s="99" t="s">
        <v>52</v>
      </c>
      <c r="W250" s="99" t="s">
        <v>52</v>
      </c>
      <c r="X250" s="99" t="s">
        <v>52</v>
      </c>
      <c r="Y250" s="99" t="s">
        <v>52</v>
      </c>
      <c r="Z250" s="99" t="s">
        <v>52</v>
      </c>
      <c r="AA250" s="99" t="s">
        <v>52</v>
      </c>
      <c r="AB250" s="99" t="s">
        <v>52</v>
      </c>
      <c r="AC250" s="99" t="s">
        <v>52</v>
      </c>
      <c r="AD250" s="99" t="s">
        <v>51</v>
      </c>
      <c r="AE250" s="99" t="s">
        <v>52</v>
      </c>
      <c r="AF250" s="99" t="s">
        <v>51</v>
      </c>
      <c r="AG250" s="99" t="s">
        <v>52</v>
      </c>
      <c r="AH250" s="99" t="s">
        <v>52</v>
      </c>
      <c r="AI250" s="99" t="s">
        <v>52</v>
      </c>
      <c r="AJ250" s="99" t="s">
        <v>52</v>
      </c>
      <c r="AK250" s="99" t="s">
        <v>52</v>
      </c>
      <c r="AL250" s="99" t="s">
        <v>52</v>
      </c>
      <c r="AM250" s="99" t="s">
        <v>52</v>
      </c>
      <c r="AN250" s="99" t="s">
        <v>52</v>
      </c>
      <c r="AO250" s="99" t="s">
        <v>52</v>
      </c>
      <c r="AP250" s="99" t="s">
        <v>52</v>
      </c>
      <c r="AQ250" s="99" t="s">
        <v>51</v>
      </c>
      <c r="AS250" s="99" t="s">
        <v>52</v>
      </c>
      <c r="AT250" s="99" t="s">
        <v>52</v>
      </c>
      <c r="AU250" s="99" t="s">
        <v>52</v>
      </c>
      <c r="AV250" s="99" t="s">
        <v>52</v>
      </c>
      <c r="AW250" s="99" t="s">
        <v>52</v>
      </c>
      <c r="AX250" s="99" t="s">
        <v>52</v>
      </c>
      <c r="AY250" s="99" t="s">
        <v>52</v>
      </c>
      <c r="AZ250" s="99" t="s">
        <v>52</v>
      </c>
      <c r="BA250" s="99" t="s">
        <v>52</v>
      </c>
      <c r="BB250" s="99" t="s">
        <v>52</v>
      </c>
      <c r="BC250" s="99" t="s">
        <v>52</v>
      </c>
      <c r="BD250" s="99" t="s">
        <v>52</v>
      </c>
      <c r="BE250" s="99" t="s">
        <v>51</v>
      </c>
      <c r="BF250" s="99" t="s">
        <v>52</v>
      </c>
      <c r="BG250" s="99" t="s">
        <v>52</v>
      </c>
      <c r="BH250" s="99" t="s">
        <v>52</v>
      </c>
      <c r="BI250" s="99" t="s">
        <v>51</v>
      </c>
      <c r="BJ250" s="99" t="s">
        <v>52</v>
      </c>
      <c r="BK250" s="99" t="s">
        <v>52</v>
      </c>
      <c r="BL250" s="99" t="s">
        <v>52</v>
      </c>
      <c r="BM250" s="99" t="s">
        <v>51</v>
      </c>
      <c r="BN250" s="99" t="s">
        <v>51</v>
      </c>
      <c r="BO250" s="99" t="s">
        <v>52</v>
      </c>
      <c r="BP250" s="99" t="s">
        <v>52</v>
      </c>
      <c r="BQ250" s="99" t="s">
        <v>52</v>
      </c>
      <c r="BR250" s="99" t="s">
        <v>52</v>
      </c>
      <c r="BS250" s="99" t="s">
        <v>52</v>
      </c>
      <c r="BT250" s="99" t="s">
        <v>52</v>
      </c>
      <c r="BU250" s="99" t="s">
        <v>52</v>
      </c>
      <c r="BV250" s="99" t="s">
        <v>52</v>
      </c>
      <c r="BX250" s="99" t="s">
        <v>51</v>
      </c>
      <c r="BY250" s="99" t="s">
        <v>52</v>
      </c>
      <c r="BZ250" s="99" t="s">
        <v>52</v>
      </c>
      <c r="CB250" s="99" t="s">
        <v>52</v>
      </c>
      <c r="CC250" s="99" t="s">
        <v>52</v>
      </c>
      <c r="CD250" s="99" t="s">
        <v>51</v>
      </c>
      <c r="CE250" s="99" t="s">
        <v>52</v>
      </c>
      <c r="CF250" s="99" t="s">
        <v>51</v>
      </c>
      <c r="CG250" s="99" t="s">
        <v>52</v>
      </c>
      <c r="CH250" s="99" t="s">
        <v>51</v>
      </c>
      <c r="CI250" s="99" t="s">
        <v>51</v>
      </c>
      <c r="CJ250" s="99" t="s">
        <v>52</v>
      </c>
      <c r="CK250" s="99" t="s">
        <v>52</v>
      </c>
      <c r="CL250" s="99" t="s">
        <v>52</v>
      </c>
      <c r="CM250" s="99" t="s">
        <v>52</v>
      </c>
      <c r="CN250" s="99" t="s">
        <v>52</v>
      </c>
      <c r="CO250" s="99" t="s">
        <v>52</v>
      </c>
      <c r="CP250" s="99" t="s">
        <v>52</v>
      </c>
      <c r="CQ250" s="99" t="s">
        <v>52</v>
      </c>
      <c r="CR250" s="99" t="s">
        <v>52</v>
      </c>
    </row>
    <row r="251" spans="1:96" x14ac:dyDescent="0.3">
      <c r="A251" s="99">
        <v>538</v>
      </c>
      <c r="C251" s="99">
        <v>538</v>
      </c>
      <c r="F251" s="99" t="s">
        <v>52</v>
      </c>
      <c r="G251" s="99" t="s">
        <v>52</v>
      </c>
      <c r="H251" s="99" t="s">
        <v>52</v>
      </c>
      <c r="I251" s="99" t="s">
        <v>52</v>
      </c>
      <c r="J251" s="99" t="s">
        <v>51</v>
      </c>
      <c r="K251" s="99" t="s">
        <v>52</v>
      </c>
      <c r="L251" s="99" t="s">
        <v>52</v>
      </c>
      <c r="M251" s="99" t="s">
        <v>52</v>
      </c>
      <c r="N251" s="99" t="s">
        <v>52</v>
      </c>
      <c r="O251" s="99" t="s">
        <v>52</v>
      </c>
      <c r="P251" s="99" t="s">
        <v>52</v>
      </c>
      <c r="Q251" s="99" t="s">
        <v>52</v>
      </c>
      <c r="R251" s="99" t="s">
        <v>51</v>
      </c>
      <c r="S251" s="99" t="s">
        <v>52</v>
      </c>
      <c r="T251" s="99" t="s">
        <v>52</v>
      </c>
      <c r="U251" s="99" t="s">
        <v>52</v>
      </c>
      <c r="V251" s="99" t="s">
        <v>52</v>
      </c>
      <c r="W251" s="99" t="s">
        <v>52</v>
      </c>
      <c r="X251" s="99" t="s">
        <v>52</v>
      </c>
      <c r="Y251" s="99" t="s">
        <v>52</v>
      </c>
      <c r="Z251" s="99" t="s">
        <v>52</v>
      </c>
      <c r="AA251" s="99" t="s">
        <v>52</v>
      </c>
      <c r="AB251" s="99" t="s">
        <v>52</v>
      </c>
      <c r="AC251" s="99" t="s">
        <v>52</v>
      </c>
      <c r="AD251" s="99" t="s">
        <v>51</v>
      </c>
      <c r="AE251" s="99" t="s">
        <v>52</v>
      </c>
      <c r="AF251" s="99" t="s">
        <v>51</v>
      </c>
      <c r="AG251" s="99" t="s">
        <v>52</v>
      </c>
      <c r="AH251" s="99" t="s">
        <v>52</v>
      </c>
      <c r="AI251" s="99" t="s">
        <v>52</v>
      </c>
      <c r="AJ251" s="99" t="s">
        <v>52</v>
      </c>
      <c r="AK251" s="99" t="s">
        <v>52</v>
      </c>
      <c r="AL251" s="99" t="s">
        <v>51</v>
      </c>
      <c r="AM251" s="99" t="s">
        <v>52</v>
      </c>
      <c r="AN251" s="99" t="s">
        <v>51</v>
      </c>
      <c r="AO251" s="99" t="s">
        <v>52</v>
      </c>
      <c r="AP251" s="99" t="s">
        <v>52</v>
      </c>
      <c r="AQ251" s="99" t="s">
        <v>51</v>
      </c>
      <c r="AS251" s="99" t="s">
        <v>52</v>
      </c>
      <c r="AT251" s="99" t="s">
        <v>52</v>
      </c>
      <c r="AU251" s="99" t="s">
        <v>52</v>
      </c>
      <c r="AV251" s="99" t="s">
        <v>52</v>
      </c>
      <c r="AW251" s="99" t="s">
        <v>52</v>
      </c>
      <c r="AX251" s="99" t="s">
        <v>52</v>
      </c>
      <c r="AY251" s="99" t="s">
        <v>52</v>
      </c>
      <c r="AZ251" s="99" t="s">
        <v>52</v>
      </c>
      <c r="BA251" s="99" t="s">
        <v>52</v>
      </c>
      <c r="BB251" s="99" t="s">
        <v>52</v>
      </c>
      <c r="BC251" s="99" t="s">
        <v>52</v>
      </c>
      <c r="BD251" s="99" t="s">
        <v>52</v>
      </c>
      <c r="BE251" s="99" t="s">
        <v>51</v>
      </c>
      <c r="BF251" s="99" t="s">
        <v>52</v>
      </c>
      <c r="BG251" s="99" t="s">
        <v>52</v>
      </c>
      <c r="BH251" s="99" t="s">
        <v>52</v>
      </c>
      <c r="BI251" s="99" t="s">
        <v>51</v>
      </c>
      <c r="BJ251" s="99" t="s">
        <v>52</v>
      </c>
      <c r="BK251" s="99" t="s">
        <v>52</v>
      </c>
      <c r="BL251" s="99" t="s">
        <v>52</v>
      </c>
      <c r="BM251" s="99" t="s">
        <v>51</v>
      </c>
      <c r="BN251" s="99" t="s">
        <v>51</v>
      </c>
      <c r="BO251" s="99" t="s">
        <v>52</v>
      </c>
      <c r="BP251" s="99" t="s">
        <v>52</v>
      </c>
      <c r="BQ251" s="99" t="s">
        <v>52</v>
      </c>
      <c r="BR251" s="99" t="s">
        <v>52</v>
      </c>
      <c r="BS251" s="99" t="s">
        <v>52</v>
      </c>
      <c r="BT251" s="99" t="s">
        <v>52</v>
      </c>
      <c r="BU251" s="99" t="s">
        <v>52</v>
      </c>
      <c r="BV251" s="99" t="s">
        <v>52</v>
      </c>
      <c r="BX251" s="99" t="s">
        <v>51</v>
      </c>
      <c r="BY251" s="99" t="s">
        <v>52</v>
      </c>
      <c r="BZ251" s="99" t="s">
        <v>52</v>
      </c>
      <c r="CB251" s="99" t="s">
        <v>51</v>
      </c>
      <c r="CC251" s="99" t="s">
        <v>52</v>
      </c>
      <c r="CD251" s="99" t="s">
        <v>52</v>
      </c>
      <c r="CE251" s="99" t="s">
        <v>52</v>
      </c>
      <c r="CF251" s="99" t="s">
        <v>51</v>
      </c>
      <c r="CG251" s="99" t="s">
        <v>52</v>
      </c>
      <c r="CH251" s="99" t="s">
        <v>51</v>
      </c>
      <c r="CI251" s="99" t="s">
        <v>52</v>
      </c>
      <c r="CJ251" s="99" t="s">
        <v>51</v>
      </c>
      <c r="CK251" s="99" t="s">
        <v>52</v>
      </c>
      <c r="CL251" s="99" t="s">
        <v>52</v>
      </c>
      <c r="CM251" s="99" t="s">
        <v>52</v>
      </c>
      <c r="CN251" s="99" t="s">
        <v>52</v>
      </c>
      <c r="CO251" s="99" t="s">
        <v>52</v>
      </c>
      <c r="CP251" s="99" t="s">
        <v>52</v>
      </c>
      <c r="CQ251" s="99" t="s">
        <v>52</v>
      </c>
      <c r="CR251" s="99" t="s">
        <v>52</v>
      </c>
    </row>
    <row r="252" spans="1:96" s="404" customFormat="1" x14ac:dyDescent="0.3">
      <c r="A252" s="404">
        <v>591</v>
      </c>
      <c r="B252" s="405">
        <v>591</v>
      </c>
      <c r="D252" s="404" t="s">
        <v>609</v>
      </c>
      <c r="F252" s="404">
        <v>0</v>
      </c>
      <c r="G252" s="404">
        <v>296785</v>
      </c>
      <c r="H252" s="404">
        <v>487528</v>
      </c>
      <c r="I252" s="404">
        <v>3045949</v>
      </c>
      <c r="J252" s="404">
        <v>2565453</v>
      </c>
      <c r="K252" s="404">
        <v>324301</v>
      </c>
      <c r="L252" s="404">
        <v>59217098</v>
      </c>
      <c r="M252" s="404">
        <v>669659</v>
      </c>
      <c r="N252" s="404">
        <v>0</v>
      </c>
      <c r="O252" s="404">
        <v>541914</v>
      </c>
      <c r="P252" s="404">
        <v>809937</v>
      </c>
      <c r="Q252" s="404">
        <v>0</v>
      </c>
      <c r="R252" s="404">
        <v>366515</v>
      </c>
      <c r="S252" s="404">
        <v>563052</v>
      </c>
      <c r="T252" s="404">
        <v>0</v>
      </c>
      <c r="U252" s="404">
        <v>0</v>
      </c>
      <c r="V252" s="404">
        <v>3928300</v>
      </c>
      <c r="W252" s="404">
        <v>458929</v>
      </c>
      <c r="X252" s="404">
        <v>1061601</v>
      </c>
      <c r="Y252" s="404">
        <v>0</v>
      </c>
      <c r="Z252" s="404">
        <v>2049635</v>
      </c>
      <c r="AA252" s="404">
        <v>0</v>
      </c>
      <c r="AB252" s="404">
        <v>27981141</v>
      </c>
      <c r="AC252" s="404">
        <v>2741301</v>
      </c>
      <c r="AD252" s="404">
        <v>257295</v>
      </c>
      <c r="AE252" s="404">
        <v>329824</v>
      </c>
      <c r="AF252" s="404">
        <v>12857231</v>
      </c>
      <c r="AG252" s="404">
        <v>0</v>
      </c>
      <c r="AH252" s="404">
        <v>748277</v>
      </c>
      <c r="AI252" s="404">
        <v>0</v>
      </c>
      <c r="AJ252" s="404">
        <v>236989</v>
      </c>
      <c r="AK252" s="404">
        <v>2747257</v>
      </c>
      <c r="AL252" s="404">
        <v>2324178</v>
      </c>
      <c r="AM252" s="404">
        <v>1941549</v>
      </c>
      <c r="AN252" s="404">
        <v>2138660</v>
      </c>
      <c r="AO252" s="404">
        <v>61353</v>
      </c>
      <c r="AP252" s="404">
        <v>0</v>
      </c>
      <c r="AQ252" s="404">
        <v>5208835</v>
      </c>
      <c r="AR252" s="404">
        <v>0</v>
      </c>
      <c r="AS252" s="404">
        <v>0</v>
      </c>
      <c r="AT252" s="404">
        <v>0</v>
      </c>
      <c r="AU252" s="404">
        <v>0</v>
      </c>
      <c r="AV252" s="404">
        <v>0</v>
      </c>
      <c r="AW252" s="404">
        <v>185242</v>
      </c>
      <c r="AX252" s="404">
        <v>2703127</v>
      </c>
      <c r="AY252" s="404">
        <v>294257</v>
      </c>
      <c r="AZ252" s="404">
        <v>20317296</v>
      </c>
      <c r="BA252" s="404">
        <v>0</v>
      </c>
      <c r="BB252" s="404">
        <v>3624952</v>
      </c>
      <c r="BC252" s="404">
        <v>0</v>
      </c>
      <c r="BD252" s="404">
        <v>1001997</v>
      </c>
      <c r="BE252" s="404">
        <v>363220</v>
      </c>
      <c r="BF252" s="404">
        <v>424992</v>
      </c>
      <c r="BG252" s="404">
        <v>2155630</v>
      </c>
      <c r="BH252" s="404">
        <v>1820727</v>
      </c>
      <c r="BI252" s="404">
        <v>39445404</v>
      </c>
      <c r="BJ252" s="404">
        <v>0</v>
      </c>
      <c r="BK252" s="404">
        <v>0</v>
      </c>
      <c r="BL252" s="404">
        <v>0</v>
      </c>
      <c r="BM252" s="404">
        <v>13425251</v>
      </c>
      <c r="BN252" s="404">
        <v>2183668</v>
      </c>
      <c r="BO252" s="404">
        <v>0</v>
      </c>
      <c r="BP252" s="404">
        <v>0</v>
      </c>
      <c r="BQ252" s="404">
        <v>1771686</v>
      </c>
      <c r="BR252" s="404">
        <v>39957</v>
      </c>
      <c r="BS252" s="404">
        <v>0</v>
      </c>
      <c r="BT252" s="404">
        <v>0</v>
      </c>
      <c r="BU252" s="404">
        <v>1159250</v>
      </c>
      <c r="BV252" s="404">
        <v>0</v>
      </c>
      <c r="BW252" s="404">
        <v>0</v>
      </c>
      <c r="BX252" s="404">
        <v>1182183</v>
      </c>
      <c r="BY252" s="404">
        <v>4426605</v>
      </c>
      <c r="BZ252" s="404">
        <v>33249</v>
      </c>
      <c r="CA252" s="404">
        <v>0</v>
      </c>
      <c r="CB252" s="404">
        <v>4421545</v>
      </c>
      <c r="CC252" s="404">
        <v>30020901</v>
      </c>
      <c r="CD252" s="404">
        <v>172879109</v>
      </c>
      <c r="CE252" s="404">
        <v>263872</v>
      </c>
      <c r="CF252" s="404">
        <v>5155921</v>
      </c>
      <c r="CG252" s="404">
        <v>349599</v>
      </c>
      <c r="CH252" s="404">
        <v>1976463</v>
      </c>
      <c r="CI252" s="404">
        <v>148772127</v>
      </c>
      <c r="CJ252" s="404">
        <v>9307171</v>
      </c>
      <c r="CK252" s="404">
        <v>644308</v>
      </c>
      <c r="CL252" s="404">
        <v>0</v>
      </c>
      <c r="CM252" s="404">
        <v>297725</v>
      </c>
      <c r="CN252" s="404">
        <v>3055861</v>
      </c>
      <c r="CO252" s="404">
        <v>2734780</v>
      </c>
      <c r="CP252" s="404">
        <v>1739556</v>
      </c>
      <c r="CQ252" s="404">
        <v>0</v>
      </c>
      <c r="CR252" s="404">
        <v>0</v>
      </c>
    </row>
    <row r="253" spans="1:96" s="404" customFormat="1" x14ac:dyDescent="0.3">
      <c r="A253" s="404">
        <v>592</v>
      </c>
      <c r="B253" s="405">
        <v>592</v>
      </c>
      <c r="D253" s="404" t="s">
        <v>610</v>
      </c>
      <c r="F253" s="404">
        <v>0</v>
      </c>
      <c r="G253" s="404">
        <v>-28853</v>
      </c>
      <c r="H253" s="404">
        <v>22352</v>
      </c>
      <c r="I253" s="404">
        <v>1776076</v>
      </c>
      <c r="J253" s="404">
        <v>423139</v>
      </c>
      <c r="K253" s="404">
        <v>-40007</v>
      </c>
      <c r="L253" s="404">
        <v>16248883</v>
      </c>
      <c r="M253" s="404">
        <v>-161368</v>
      </c>
      <c r="N253" s="404">
        <v>0</v>
      </c>
      <c r="O253" s="404">
        <v>-67940</v>
      </c>
      <c r="P253" s="404">
        <v>719024</v>
      </c>
      <c r="Q253" s="404">
        <v>0</v>
      </c>
      <c r="R253" s="404">
        <v>-48771</v>
      </c>
      <c r="S253" s="404">
        <v>-44935</v>
      </c>
      <c r="T253" s="404">
        <v>0</v>
      </c>
      <c r="U253" s="404">
        <v>0</v>
      </c>
      <c r="V253" s="404">
        <v>2627826</v>
      </c>
      <c r="W253" s="404">
        <v>141504</v>
      </c>
      <c r="X253" s="404">
        <v>296791</v>
      </c>
      <c r="Y253" s="404">
        <v>0</v>
      </c>
      <c r="Z253" s="404">
        <v>673754</v>
      </c>
      <c r="AA253" s="404">
        <v>0</v>
      </c>
      <c r="AB253" s="404">
        <v>-1616950</v>
      </c>
      <c r="AC253" s="404">
        <v>-231534</v>
      </c>
      <c r="AD253" s="404">
        <v>-27902</v>
      </c>
      <c r="AE253" s="404">
        <v>44864</v>
      </c>
      <c r="AF253" s="404">
        <v>1035125</v>
      </c>
      <c r="AG253" s="404">
        <v>0</v>
      </c>
      <c r="AH253" s="404">
        <v>38882</v>
      </c>
      <c r="AI253" s="404">
        <v>0</v>
      </c>
      <c r="AJ253" s="404">
        <v>-260977</v>
      </c>
      <c r="AK253" s="404">
        <v>-530188</v>
      </c>
      <c r="AL253" s="404">
        <v>810361</v>
      </c>
      <c r="AM253" s="404">
        <v>309585</v>
      </c>
      <c r="AN253" s="404">
        <v>-341378</v>
      </c>
      <c r="AO253" s="404">
        <v>-12344</v>
      </c>
      <c r="AP253" s="404">
        <v>0</v>
      </c>
      <c r="AQ253" s="404">
        <v>-294320</v>
      </c>
      <c r="AR253" s="404">
        <v>0</v>
      </c>
      <c r="AS253" s="404">
        <v>0</v>
      </c>
      <c r="AT253" s="404">
        <v>0</v>
      </c>
      <c r="AU253" s="404">
        <v>0</v>
      </c>
      <c r="AV253" s="404">
        <v>0</v>
      </c>
      <c r="AW253" s="404">
        <v>-74861</v>
      </c>
      <c r="AX253" s="404">
        <v>154489</v>
      </c>
      <c r="AY253" s="404">
        <v>-52817</v>
      </c>
      <c r="AZ253" s="404">
        <v>296897</v>
      </c>
      <c r="BA253" s="404">
        <v>0</v>
      </c>
      <c r="BB253" s="404">
        <v>-538297</v>
      </c>
      <c r="BC253" s="404">
        <v>0</v>
      </c>
      <c r="BD253" s="404">
        <v>165432</v>
      </c>
      <c r="BE253" s="404">
        <v>63643</v>
      </c>
      <c r="BF253" s="404">
        <v>19710</v>
      </c>
      <c r="BG253" s="404">
        <v>1900269</v>
      </c>
      <c r="BH253" s="404">
        <v>238128</v>
      </c>
      <c r="BI253" s="404">
        <v>5271774</v>
      </c>
      <c r="BJ253" s="404">
        <v>0</v>
      </c>
      <c r="BK253" s="404">
        <v>0</v>
      </c>
      <c r="BL253" s="404">
        <v>0</v>
      </c>
      <c r="BM253" s="404">
        <v>759205</v>
      </c>
      <c r="BN253" s="404">
        <v>337177</v>
      </c>
      <c r="BO253" s="404">
        <v>0</v>
      </c>
      <c r="BP253" s="404">
        <v>0</v>
      </c>
      <c r="BQ253" s="404">
        <v>13666</v>
      </c>
      <c r="BR253" s="404">
        <v>0</v>
      </c>
      <c r="BS253" s="404">
        <v>0</v>
      </c>
      <c r="BT253" s="404">
        <v>0</v>
      </c>
      <c r="BU253" s="404">
        <v>42484</v>
      </c>
      <c r="BV253" s="404">
        <v>0</v>
      </c>
      <c r="BW253" s="404">
        <v>0</v>
      </c>
      <c r="BX253" s="404">
        <v>401079</v>
      </c>
      <c r="BY253" s="404">
        <v>639252</v>
      </c>
      <c r="BZ253" s="404">
        <v>-9602</v>
      </c>
      <c r="CA253" s="404">
        <v>0</v>
      </c>
      <c r="CB253" s="404">
        <v>-244459</v>
      </c>
      <c r="CC253" s="404">
        <v>3331556</v>
      </c>
      <c r="CD253" s="404">
        <v>14269055</v>
      </c>
      <c r="CE253" s="404">
        <v>857382</v>
      </c>
      <c r="CF253" s="404">
        <v>39771</v>
      </c>
      <c r="CG253" s="404">
        <v>-138535</v>
      </c>
      <c r="CH253" s="404">
        <v>89039</v>
      </c>
      <c r="CI253" s="404">
        <v>41016069</v>
      </c>
      <c r="CJ253" s="404">
        <v>1996429</v>
      </c>
      <c r="CK253" s="404">
        <v>-43786</v>
      </c>
      <c r="CL253" s="404">
        <v>0</v>
      </c>
      <c r="CM253" s="404">
        <v>27400</v>
      </c>
      <c r="CN253" s="404">
        <v>-211854</v>
      </c>
      <c r="CO253" s="404">
        <v>-298559</v>
      </c>
      <c r="CP253" s="404">
        <v>1720876</v>
      </c>
      <c r="CQ253" s="404">
        <v>0</v>
      </c>
      <c r="CR253" s="404">
        <v>0</v>
      </c>
    </row>
    <row r="254" spans="1:96" s="404" customFormat="1" x14ac:dyDescent="0.3">
      <c r="A254" s="404">
        <v>595</v>
      </c>
      <c r="B254" s="405"/>
      <c r="D254" s="404" t="s">
        <v>682</v>
      </c>
    </row>
    <row r="255" spans="1:96" s="404" customFormat="1" x14ac:dyDescent="0.3">
      <c r="A255" s="404">
        <v>596</v>
      </c>
      <c r="B255" s="405">
        <v>596</v>
      </c>
      <c r="D255" s="404" t="s">
        <v>616</v>
      </c>
      <c r="F255" s="404">
        <v>0</v>
      </c>
      <c r="G255" s="404">
        <v>52</v>
      </c>
      <c r="H255" s="404">
        <v>52</v>
      </c>
      <c r="I255" s="404">
        <v>52</v>
      </c>
      <c r="J255" s="404">
        <v>52</v>
      </c>
      <c r="K255" s="404">
        <v>52</v>
      </c>
      <c r="L255" s="404">
        <v>52</v>
      </c>
      <c r="M255" s="404">
        <v>52</v>
      </c>
      <c r="N255" s="404">
        <v>52</v>
      </c>
      <c r="O255" s="404">
        <v>52</v>
      </c>
      <c r="P255" s="404">
        <v>52</v>
      </c>
      <c r="Q255" s="404">
        <v>0</v>
      </c>
      <c r="R255" s="404">
        <v>52</v>
      </c>
      <c r="S255" s="404">
        <v>0</v>
      </c>
      <c r="T255" s="404">
        <v>52</v>
      </c>
      <c r="U255" s="404">
        <v>52</v>
      </c>
      <c r="V255" s="404">
        <v>52</v>
      </c>
      <c r="W255" s="404">
        <v>52</v>
      </c>
      <c r="X255" s="404">
        <v>52</v>
      </c>
      <c r="Y255" s="404">
        <v>52</v>
      </c>
      <c r="Z255" s="404">
        <v>52</v>
      </c>
      <c r="AA255" s="404">
        <v>52</v>
      </c>
      <c r="AB255" s="404">
        <v>52</v>
      </c>
      <c r="AC255" s="404">
        <v>52</v>
      </c>
      <c r="AD255" s="404">
        <v>52</v>
      </c>
      <c r="AE255" s="404">
        <v>52</v>
      </c>
      <c r="AF255" s="404">
        <v>52</v>
      </c>
      <c r="AG255" s="404">
        <v>52</v>
      </c>
      <c r="AH255" s="404">
        <v>52</v>
      </c>
      <c r="AI255" s="404">
        <v>0</v>
      </c>
      <c r="AJ255" s="404">
        <v>52</v>
      </c>
      <c r="AK255" s="404">
        <v>52</v>
      </c>
      <c r="AL255" s="404">
        <v>52</v>
      </c>
      <c r="AM255" s="404">
        <v>52</v>
      </c>
      <c r="AN255" s="404">
        <v>52</v>
      </c>
      <c r="AO255" s="404">
        <v>52</v>
      </c>
      <c r="AP255" s="404">
        <v>52</v>
      </c>
      <c r="AQ255" s="404">
        <v>52</v>
      </c>
      <c r="AR255" s="404">
        <v>0</v>
      </c>
      <c r="AS255" s="404">
        <v>52</v>
      </c>
      <c r="AT255" s="404">
        <v>52</v>
      </c>
      <c r="AU255" s="404">
        <v>52</v>
      </c>
      <c r="AV255" s="404">
        <v>52</v>
      </c>
      <c r="AW255" s="404">
        <v>52</v>
      </c>
      <c r="AX255" s="404">
        <v>52</v>
      </c>
      <c r="AY255" s="404">
        <v>52</v>
      </c>
      <c r="AZ255" s="404">
        <v>52</v>
      </c>
      <c r="BA255" s="404">
        <v>52</v>
      </c>
      <c r="BB255" s="404">
        <v>52</v>
      </c>
      <c r="BC255" s="404">
        <v>0</v>
      </c>
      <c r="BD255" s="404">
        <v>52</v>
      </c>
      <c r="BE255" s="404">
        <v>52</v>
      </c>
      <c r="BF255" s="404">
        <v>52</v>
      </c>
      <c r="BG255" s="404">
        <v>52</v>
      </c>
      <c r="BH255" s="404">
        <v>52</v>
      </c>
      <c r="BI255" s="404">
        <v>52</v>
      </c>
      <c r="BJ255" s="404">
        <v>0</v>
      </c>
      <c r="BK255" s="404">
        <v>52</v>
      </c>
      <c r="BL255" s="404">
        <v>52</v>
      </c>
      <c r="BM255" s="404">
        <v>52</v>
      </c>
      <c r="BN255" s="404">
        <v>52</v>
      </c>
      <c r="BO255" s="404">
        <v>52</v>
      </c>
      <c r="BP255" s="404">
        <v>52</v>
      </c>
      <c r="BQ255" s="404">
        <v>52</v>
      </c>
      <c r="BR255" s="404">
        <v>52</v>
      </c>
      <c r="BS255" s="404">
        <v>52</v>
      </c>
      <c r="BT255" s="404">
        <v>52</v>
      </c>
      <c r="BU255" s="404">
        <v>52</v>
      </c>
      <c r="BV255" s="404">
        <v>0</v>
      </c>
      <c r="BW255" s="404">
        <v>0</v>
      </c>
      <c r="BX255" s="404">
        <v>52</v>
      </c>
      <c r="BY255" s="404">
        <v>52</v>
      </c>
      <c r="BZ255" s="404">
        <v>52</v>
      </c>
      <c r="CA255" s="404">
        <v>0</v>
      </c>
      <c r="CB255" s="404">
        <v>52</v>
      </c>
      <c r="CC255" s="404">
        <v>0</v>
      </c>
      <c r="CD255" s="404">
        <v>52</v>
      </c>
      <c r="CE255" s="404">
        <v>50</v>
      </c>
      <c r="CF255" s="404">
        <v>52</v>
      </c>
      <c r="CG255" s="404">
        <v>52</v>
      </c>
      <c r="CH255" s="404">
        <v>52</v>
      </c>
      <c r="CI255" s="404">
        <v>52</v>
      </c>
      <c r="CJ255" s="404">
        <v>52</v>
      </c>
      <c r="CK255" s="404">
        <v>52</v>
      </c>
      <c r="CL255" s="404">
        <v>52</v>
      </c>
      <c r="CM255" s="404">
        <v>52</v>
      </c>
      <c r="CN255" s="404">
        <v>52</v>
      </c>
      <c r="CO255" s="404">
        <v>52</v>
      </c>
      <c r="CP255" s="404">
        <v>52</v>
      </c>
      <c r="CQ255" s="404">
        <v>52</v>
      </c>
      <c r="CR255" s="404">
        <v>52</v>
      </c>
    </row>
    <row r="256" spans="1:96" s="404" customFormat="1" x14ac:dyDescent="0.3">
      <c r="A256" s="404">
        <v>597</v>
      </c>
      <c r="B256" s="405">
        <v>597</v>
      </c>
      <c r="D256" s="404" t="s">
        <v>683</v>
      </c>
      <c r="F256" s="404">
        <v>3209</v>
      </c>
      <c r="G256" s="404">
        <v>122607</v>
      </c>
      <c r="H256" s="404">
        <v>13541</v>
      </c>
      <c r="I256" s="404">
        <v>14952</v>
      </c>
      <c r="J256" s="404">
        <v>86245</v>
      </c>
      <c r="K256" s="404">
        <v>5941</v>
      </c>
      <c r="L256" s="404">
        <v>1153587</v>
      </c>
      <c r="M256" s="404">
        <v>11115</v>
      </c>
      <c r="N256" s="404">
        <v>225</v>
      </c>
      <c r="O256" s="404">
        <v>70128</v>
      </c>
      <c r="P256" s="404">
        <v>0</v>
      </c>
      <c r="Q256" s="404">
        <v>80</v>
      </c>
      <c r="R256" s="404">
        <v>1641</v>
      </c>
      <c r="S256" s="404">
        <v>17771</v>
      </c>
      <c r="T256" s="404">
        <v>136609</v>
      </c>
      <c r="U256" s="404">
        <v>98866</v>
      </c>
      <c r="V256" s="404">
        <v>208247</v>
      </c>
      <c r="W256" s="404">
        <v>41710</v>
      </c>
      <c r="X256" s="404">
        <v>93800</v>
      </c>
      <c r="Y256" s="404">
        <v>151811</v>
      </c>
      <c r="Z256" s="404">
        <v>49</v>
      </c>
      <c r="AA256" s="404">
        <v>59</v>
      </c>
      <c r="AB256" s="404">
        <v>276239</v>
      </c>
      <c r="AC256" s="404">
        <v>3631</v>
      </c>
      <c r="AD256" s="404">
        <v>0</v>
      </c>
      <c r="AE256" s="404">
        <v>3041</v>
      </c>
      <c r="AF256" s="404">
        <v>471925</v>
      </c>
      <c r="AG256" s="404">
        <v>30785</v>
      </c>
      <c r="AH256" s="404">
        <v>131020</v>
      </c>
      <c r="AI256" s="404">
        <v>14613</v>
      </c>
      <c r="AJ256" s="404">
        <v>1019</v>
      </c>
      <c r="AK256" s="404">
        <v>37864</v>
      </c>
      <c r="AL256" s="404">
        <v>20141</v>
      </c>
      <c r="AM256" s="404">
        <v>1613</v>
      </c>
      <c r="AN256" s="404">
        <v>46247</v>
      </c>
      <c r="AO256" s="404">
        <v>131</v>
      </c>
      <c r="AP256" s="404">
        <v>57704</v>
      </c>
      <c r="AQ256" s="404">
        <v>110011</v>
      </c>
      <c r="AR256" s="404">
        <v>0</v>
      </c>
      <c r="AS256" s="404">
        <v>86</v>
      </c>
      <c r="AT256" s="404">
        <v>15480</v>
      </c>
      <c r="AU256" s="404">
        <v>877</v>
      </c>
      <c r="AV256" s="404">
        <v>1403</v>
      </c>
      <c r="AW256" s="404">
        <v>3488</v>
      </c>
      <c r="AX256" s="404">
        <v>51143</v>
      </c>
      <c r="AY256" s="404">
        <v>4576</v>
      </c>
      <c r="AZ256" s="404">
        <v>415230</v>
      </c>
      <c r="BA256" s="404">
        <v>0</v>
      </c>
      <c r="BB256" s="404">
        <v>39992</v>
      </c>
      <c r="BC256" s="404">
        <v>4274</v>
      </c>
      <c r="BD256" s="404">
        <v>5182</v>
      </c>
      <c r="BE256" s="404">
        <v>12132</v>
      </c>
      <c r="BF256" s="404">
        <v>3113</v>
      </c>
      <c r="BG256" s="404">
        <v>11665</v>
      </c>
      <c r="BH256" s="404">
        <v>97741</v>
      </c>
      <c r="BI256" s="404">
        <v>665144</v>
      </c>
      <c r="BJ256" s="404">
        <v>2744</v>
      </c>
      <c r="BK256" s="404">
        <v>0</v>
      </c>
      <c r="BL256" s="404">
        <v>155047</v>
      </c>
      <c r="BM256" s="404">
        <v>148082</v>
      </c>
      <c r="BN256" s="404">
        <v>143739</v>
      </c>
      <c r="BO256" s="404">
        <v>1402</v>
      </c>
      <c r="BP256" s="404">
        <v>18620</v>
      </c>
      <c r="BQ256" s="404">
        <v>44848</v>
      </c>
      <c r="BR256" s="404">
        <v>130661</v>
      </c>
      <c r="BS256" s="404">
        <v>21064</v>
      </c>
      <c r="BT256" s="404">
        <v>5115</v>
      </c>
      <c r="BU256" s="404">
        <v>45019</v>
      </c>
      <c r="BV256" s="404">
        <v>45332</v>
      </c>
      <c r="BW256" s="404">
        <v>0</v>
      </c>
      <c r="BX256" s="404">
        <v>9322</v>
      </c>
      <c r="BY256" s="404">
        <v>69067</v>
      </c>
      <c r="BZ256" s="404">
        <v>8555</v>
      </c>
      <c r="CA256" s="404">
        <v>0</v>
      </c>
      <c r="CB256" s="404">
        <v>175399</v>
      </c>
      <c r="CC256" s="404">
        <v>2398140</v>
      </c>
      <c r="CD256" s="404">
        <v>2535037</v>
      </c>
      <c r="CE256" s="404">
        <v>2824</v>
      </c>
      <c r="CF256" s="404">
        <v>125109</v>
      </c>
      <c r="CG256" s="404">
        <v>473</v>
      </c>
      <c r="CH256" s="404">
        <v>17717</v>
      </c>
      <c r="CI256" s="404">
        <v>9230852</v>
      </c>
      <c r="CJ256" s="404">
        <v>227416</v>
      </c>
      <c r="CK256" s="404">
        <v>1174</v>
      </c>
      <c r="CL256" s="404">
        <v>25583</v>
      </c>
      <c r="CM256" s="404">
        <v>15811</v>
      </c>
      <c r="CN256" s="404">
        <v>220530</v>
      </c>
      <c r="CO256" s="404">
        <v>9508</v>
      </c>
      <c r="CP256" s="404">
        <v>50669</v>
      </c>
      <c r="CQ256" s="404">
        <v>13273</v>
      </c>
      <c r="CR256" s="404">
        <v>160642</v>
      </c>
    </row>
    <row r="257" spans="1:96" s="404" customFormat="1" x14ac:dyDescent="0.3">
      <c r="B257" s="405"/>
      <c r="E257" s="404" t="s">
        <v>1782</v>
      </c>
    </row>
    <row r="258" spans="1:96" s="404" customFormat="1" x14ac:dyDescent="0.3">
      <c r="A258" s="404">
        <v>598</v>
      </c>
      <c r="B258" s="405">
        <v>598</v>
      </c>
      <c r="C258" s="404">
        <v>598</v>
      </c>
      <c r="D258" s="404" t="s">
        <v>677</v>
      </c>
      <c r="F258" s="404">
        <v>0</v>
      </c>
      <c r="G258" s="404">
        <v>39503</v>
      </c>
      <c r="H258" s="404">
        <v>0</v>
      </c>
      <c r="I258" s="404">
        <v>0</v>
      </c>
      <c r="J258" s="404">
        <v>0</v>
      </c>
      <c r="K258" s="404">
        <v>0</v>
      </c>
      <c r="L258" s="404">
        <v>166881</v>
      </c>
      <c r="M258" s="404">
        <v>16446</v>
      </c>
      <c r="N258" s="404">
        <v>0</v>
      </c>
      <c r="O258" s="404">
        <v>0</v>
      </c>
      <c r="P258" s="404">
        <v>0</v>
      </c>
      <c r="Q258" s="404">
        <v>0</v>
      </c>
      <c r="R258" s="404">
        <v>0</v>
      </c>
      <c r="S258" s="404">
        <v>4052</v>
      </c>
      <c r="T258" s="404">
        <v>0</v>
      </c>
      <c r="U258" s="404">
        <v>9728</v>
      </c>
      <c r="V258" s="404">
        <v>10251</v>
      </c>
      <c r="W258" s="404">
        <v>11956</v>
      </c>
      <c r="X258" s="404">
        <v>0</v>
      </c>
      <c r="Y258" s="404">
        <v>29986</v>
      </c>
      <c r="Z258" s="404">
        <v>0</v>
      </c>
      <c r="AA258" s="404">
        <v>0</v>
      </c>
      <c r="AB258" s="404">
        <v>103777</v>
      </c>
      <c r="AC258" s="404">
        <v>0</v>
      </c>
      <c r="AD258" s="404">
        <v>0</v>
      </c>
      <c r="AE258" s="404">
        <v>0</v>
      </c>
      <c r="AF258" s="404">
        <v>147631</v>
      </c>
      <c r="AG258" s="404">
        <v>0</v>
      </c>
      <c r="AH258" s="404">
        <v>0</v>
      </c>
      <c r="AI258" s="404">
        <v>0</v>
      </c>
      <c r="AJ258" s="404">
        <v>0</v>
      </c>
      <c r="AK258" s="404">
        <v>0</v>
      </c>
      <c r="AL258" s="404">
        <v>0</v>
      </c>
      <c r="AM258" s="404">
        <v>7668</v>
      </c>
      <c r="AN258" s="404">
        <v>9866</v>
      </c>
      <c r="AO258" s="404">
        <v>0</v>
      </c>
      <c r="AP258" s="404">
        <v>0</v>
      </c>
      <c r="AQ258" s="404">
        <v>0</v>
      </c>
      <c r="AR258" s="404">
        <v>0</v>
      </c>
      <c r="AS258" s="404">
        <v>0</v>
      </c>
      <c r="AT258" s="404">
        <v>0</v>
      </c>
      <c r="AU258" s="404">
        <v>0</v>
      </c>
      <c r="AV258" s="404">
        <v>0</v>
      </c>
      <c r="AW258" s="404">
        <v>0</v>
      </c>
      <c r="AX258" s="404">
        <v>18554</v>
      </c>
      <c r="AY258" s="404">
        <v>0</v>
      </c>
      <c r="AZ258" s="404">
        <v>47487</v>
      </c>
      <c r="BA258" s="404">
        <v>0</v>
      </c>
      <c r="BB258" s="404">
        <v>18323</v>
      </c>
      <c r="BC258" s="404">
        <v>0</v>
      </c>
      <c r="BD258" s="404">
        <v>0</v>
      </c>
      <c r="BE258" s="404">
        <v>17089</v>
      </c>
      <c r="BF258" s="404">
        <v>0</v>
      </c>
      <c r="BG258" s="404">
        <v>0</v>
      </c>
      <c r="BH258" s="404">
        <v>0</v>
      </c>
      <c r="BI258" s="404">
        <v>138843</v>
      </c>
      <c r="BJ258" s="404">
        <v>0</v>
      </c>
      <c r="BK258" s="404">
        <v>0</v>
      </c>
      <c r="BL258" s="404">
        <v>12209</v>
      </c>
      <c r="BM258" s="404">
        <v>98770</v>
      </c>
      <c r="BN258" s="404">
        <v>59809</v>
      </c>
      <c r="BO258" s="404">
        <v>0</v>
      </c>
      <c r="BP258" s="404">
        <v>0</v>
      </c>
      <c r="BQ258" s="404">
        <v>0</v>
      </c>
      <c r="BR258" s="404">
        <v>35576</v>
      </c>
      <c r="BS258" s="404">
        <v>0</v>
      </c>
      <c r="BT258" s="404">
        <v>0</v>
      </c>
      <c r="BU258" s="404">
        <v>0</v>
      </c>
      <c r="BV258" s="404">
        <v>0</v>
      </c>
      <c r="BW258" s="404">
        <v>0</v>
      </c>
      <c r="BX258" s="404">
        <v>0</v>
      </c>
      <c r="BY258" s="404">
        <v>17390</v>
      </c>
      <c r="BZ258" s="404">
        <v>0</v>
      </c>
      <c r="CA258" s="404">
        <v>0</v>
      </c>
      <c r="CB258" s="404">
        <v>0</v>
      </c>
      <c r="CC258" s="404">
        <v>729853</v>
      </c>
      <c r="CD258" s="404">
        <v>235158</v>
      </c>
      <c r="CE258" s="404">
        <v>1229</v>
      </c>
      <c r="CF258" s="404">
        <v>0</v>
      </c>
      <c r="CG258" s="404">
        <v>0</v>
      </c>
      <c r="CH258" s="404">
        <v>0</v>
      </c>
      <c r="CI258" s="404">
        <v>2270725</v>
      </c>
      <c r="CJ258" s="404">
        <v>17068</v>
      </c>
      <c r="CK258" s="404">
        <v>0</v>
      </c>
      <c r="CL258" s="404">
        <v>0</v>
      </c>
      <c r="CM258" s="404">
        <v>0</v>
      </c>
      <c r="CN258" s="404">
        <v>63006</v>
      </c>
      <c r="CO258" s="404">
        <v>32133</v>
      </c>
      <c r="CP258" s="404">
        <v>0</v>
      </c>
      <c r="CQ258" s="404">
        <v>0</v>
      </c>
      <c r="CR258" s="404">
        <v>1820</v>
      </c>
    </row>
    <row r="259" spans="1:96" s="404" customFormat="1" x14ac:dyDescent="0.3">
      <c r="A259" s="404">
        <v>599</v>
      </c>
      <c r="B259" s="405">
        <v>599</v>
      </c>
      <c r="C259" s="404">
        <v>599</v>
      </c>
      <c r="D259" s="404" t="s">
        <v>678</v>
      </c>
      <c r="F259" s="404">
        <v>0</v>
      </c>
      <c r="G259" s="404">
        <v>552433</v>
      </c>
      <c r="H259" s="404">
        <v>78474</v>
      </c>
      <c r="I259" s="404">
        <v>513117</v>
      </c>
      <c r="J259" s="404">
        <v>32686</v>
      </c>
      <c r="K259" s="404">
        <v>23859</v>
      </c>
      <c r="L259" s="404">
        <v>2468072</v>
      </c>
      <c r="M259" s="404">
        <v>41046</v>
      </c>
      <c r="N259" s="404">
        <v>0</v>
      </c>
      <c r="O259" s="404">
        <v>0</v>
      </c>
      <c r="P259" s="404">
        <v>115339</v>
      </c>
      <c r="Q259" s="404">
        <v>0</v>
      </c>
      <c r="R259" s="404">
        <v>0</v>
      </c>
      <c r="S259" s="404">
        <v>155727</v>
      </c>
      <c r="T259" s="404">
        <v>0</v>
      </c>
      <c r="U259" s="404">
        <v>438344</v>
      </c>
      <c r="V259" s="404">
        <v>399197</v>
      </c>
      <c r="W259" s="404">
        <v>75611</v>
      </c>
      <c r="X259" s="404">
        <v>0</v>
      </c>
      <c r="Y259" s="404">
        <v>483061</v>
      </c>
      <c r="Z259" s="404">
        <v>88314</v>
      </c>
      <c r="AA259" s="404">
        <v>0</v>
      </c>
      <c r="AB259" s="404">
        <v>1479477</v>
      </c>
      <c r="AC259" s="404">
        <v>338789</v>
      </c>
      <c r="AD259" s="404">
        <v>24425</v>
      </c>
      <c r="AE259" s="404">
        <v>0</v>
      </c>
      <c r="AF259" s="404">
        <v>2626148</v>
      </c>
      <c r="AG259" s="404">
        <v>0</v>
      </c>
      <c r="AH259" s="404">
        <v>93488</v>
      </c>
      <c r="AI259" s="404">
        <v>245260</v>
      </c>
      <c r="AJ259" s="404">
        <v>0</v>
      </c>
      <c r="AK259" s="404">
        <v>0</v>
      </c>
      <c r="AL259" s="404">
        <v>502998</v>
      </c>
      <c r="AM259" s="404">
        <v>303599</v>
      </c>
      <c r="AN259" s="404">
        <v>208222</v>
      </c>
      <c r="AO259" s="404">
        <v>0</v>
      </c>
      <c r="AP259" s="404">
        <v>0</v>
      </c>
      <c r="AQ259" s="404">
        <v>200396</v>
      </c>
      <c r="AR259" s="404">
        <v>0</v>
      </c>
      <c r="AS259" s="404">
        <v>0</v>
      </c>
      <c r="AT259" s="404">
        <v>0</v>
      </c>
      <c r="AU259" s="404">
        <v>13937</v>
      </c>
      <c r="AV259" s="404">
        <v>0</v>
      </c>
      <c r="AW259" s="404">
        <v>0</v>
      </c>
      <c r="AX259" s="404">
        <v>481209</v>
      </c>
      <c r="AY259" s="404">
        <v>45197</v>
      </c>
      <c r="AZ259" s="404">
        <v>3461581</v>
      </c>
      <c r="BA259" s="404">
        <v>0</v>
      </c>
      <c r="BB259" s="404">
        <v>187117</v>
      </c>
      <c r="BC259" s="404">
        <v>0</v>
      </c>
      <c r="BD259" s="404">
        <v>0</v>
      </c>
      <c r="BE259" s="404">
        <v>55352</v>
      </c>
      <c r="BF259" s="404">
        <v>0</v>
      </c>
      <c r="BG259" s="404">
        <v>31828</v>
      </c>
      <c r="BH259" s="404">
        <v>250470</v>
      </c>
      <c r="BI259" s="404">
        <v>1618592</v>
      </c>
      <c r="BJ259" s="404">
        <v>0</v>
      </c>
      <c r="BK259" s="404">
        <v>0</v>
      </c>
      <c r="BL259" s="404">
        <v>489555</v>
      </c>
      <c r="BM259" s="404">
        <v>1345260</v>
      </c>
      <c r="BN259" s="404">
        <v>598291</v>
      </c>
      <c r="BO259" s="404">
        <v>0</v>
      </c>
      <c r="BP259" s="404">
        <v>0</v>
      </c>
      <c r="BQ259" s="404">
        <v>83508</v>
      </c>
      <c r="BR259" s="404">
        <v>714728</v>
      </c>
      <c r="BS259" s="404">
        <v>0</v>
      </c>
      <c r="BT259" s="404">
        <v>0</v>
      </c>
      <c r="BU259" s="404">
        <v>66622</v>
      </c>
      <c r="BV259" s="404">
        <v>291006</v>
      </c>
      <c r="BW259" s="404">
        <v>0</v>
      </c>
      <c r="BX259" s="404">
        <v>175900</v>
      </c>
      <c r="BY259" s="404">
        <v>216654</v>
      </c>
      <c r="BZ259" s="404">
        <v>0</v>
      </c>
      <c r="CA259" s="404">
        <v>0</v>
      </c>
      <c r="CB259" s="404">
        <v>389268</v>
      </c>
      <c r="CC259" s="404">
        <v>12877207</v>
      </c>
      <c r="CD259" s="404">
        <v>5944916</v>
      </c>
      <c r="CE259" s="404">
        <v>18084</v>
      </c>
      <c r="CF259" s="404">
        <v>158757</v>
      </c>
      <c r="CG259" s="404">
        <v>0</v>
      </c>
      <c r="CH259" s="404">
        <v>157520</v>
      </c>
      <c r="CI259" s="404">
        <v>25315048</v>
      </c>
      <c r="CJ259" s="404">
        <v>341970</v>
      </c>
      <c r="CK259" s="404">
        <v>0</v>
      </c>
      <c r="CL259" s="404">
        <v>466526</v>
      </c>
      <c r="CM259" s="404">
        <v>9123</v>
      </c>
      <c r="CN259" s="404">
        <v>625935</v>
      </c>
      <c r="CO259" s="404">
        <v>559753</v>
      </c>
      <c r="CP259" s="404">
        <v>0</v>
      </c>
      <c r="CQ259" s="404">
        <v>150299</v>
      </c>
      <c r="CR259" s="404">
        <v>674335</v>
      </c>
    </row>
    <row r="260" spans="1:96" s="404" customFormat="1" ht="100.8" x14ac:dyDescent="0.3">
      <c r="A260" s="404">
        <v>600</v>
      </c>
      <c r="B260" s="405"/>
      <c r="C260" s="404">
        <v>600</v>
      </c>
      <c r="D260" s="1126" t="s">
        <v>1783</v>
      </c>
    </row>
    <row r="261" spans="1:96" s="404" customFormat="1" x14ac:dyDescent="0.3">
      <c r="A261" s="404">
        <v>601</v>
      </c>
      <c r="B261" s="405"/>
      <c r="C261" s="404">
        <v>601</v>
      </c>
      <c r="D261" s="1126" t="s">
        <v>1784</v>
      </c>
    </row>
    <row r="262" spans="1:96" s="404" customFormat="1" x14ac:dyDescent="0.3">
      <c r="A262" s="404">
        <v>602</v>
      </c>
      <c r="B262" s="405">
        <v>602</v>
      </c>
      <c r="C262" s="404">
        <v>602</v>
      </c>
      <c r="D262" s="404" t="s">
        <v>704</v>
      </c>
      <c r="F262" s="404">
        <v>0</v>
      </c>
      <c r="G262" s="404">
        <v>0</v>
      </c>
      <c r="H262" s="404">
        <v>0</v>
      </c>
      <c r="I262" s="404">
        <v>0</v>
      </c>
      <c r="J262" s="404">
        <v>0</v>
      </c>
      <c r="K262" s="404">
        <v>0</v>
      </c>
      <c r="L262" s="404">
        <v>0</v>
      </c>
      <c r="M262" s="404">
        <v>0</v>
      </c>
      <c r="N262" s="404">
        <v>0</v>
      </c>
      <c r="O262" s="404">
        <v>0</v>
      </c>
      <c r="P262" s="404">
        <v>0</v>
      </c>
      <c r="Q262" s="404">
        <v>0</v>
      </c>
      <c r="R262" s="404">
        <v>0</v>
      </c>
      <c r="S262" s="404">
        <v>0</v>
      </c>
      <c r="T262" s="404">
        <v>0</v>
      </c>
      <c r="U262" s="404">
        <v>0</v>
      </c>
      <c r="V262" s="404">
        <v>0</v>
      </c>
      <c r="W262" s="404">
        <v>0</v>
      </c>
      <c r="X262" s="404">
        <v>0</v>
      </c>
      <c r="Y262" s="404">
        <v>0</v>
      </c>
      <c r="Z262" s="404">
        <v>0</v>
      </c>
      <c r="AA262" s="404">
        <v>0</v>
      </c>
      <c r="AB262" s="404">
        <v>0</v>
      </c>
      <c r="AC262" s="404">
        <v>0</v>
      </c>
      <c r="AD262" s="404">
        <v>0</v>
      </c>
      <c r="AE262" s="404">
        <v>0</v>
      </c>
      <c r="AF262" s="404">
        <v>0</v>
      </c>
      <c r="AG262" s="404">
        <v>0</v>
      </c>
      <c r="AH262" s="404">
        <v>0</v>
      </c>
      <c r="AI262" s="404">
        <v>0</v>
      </c>
      <c r="AJ262" s="404">
        <v>0</v>
      </c>
      <c r="AK262" s="404">
        <v>0</v>
      </c>
      <c r="AL262" s="404">
        <v>0</v>
      </c>
      <c r="AM262" s="404">
        <v>0</v>
      </c>
      <c r="AN262" s="404">
        <v>0</v>
      </c>
      <c r="AO262" s="404">
        <v>0</v>
      </c>
      <c r="AP262" s="404">
        <v>0</v>
      </c>
      <c r="AQ262" s="404">
        <v>0</v>
      </c>
      <c r="AR262" s="404">
        <v>0</v>
      </c>
      <c r="AS262" s="404">
        <v>0</v>
      </c>
      <c r="AT262" s="404">
        <v>0</v>
      </c>
      <c r="AU262" s="404">
        <v>0</v>
      </c>
      <c r="AV262" s="404">
        <v>0</v>
      </c>
      <c r="AW262" s="404">
        <v>0</v>
      </c>
      <c r="AX262" s="404">
        <v>0</v>
      </c>
      <c r="AY262" s="404">
        <v>0</v>
      </c>
      <c r="AZ262" s="404">
        <v>0</v>
      </c>
      <c r="BA262" s="404">
        <v>0</v>
      </c>
      <c r="BB262" s="404">
        <v>0</v>
      </c>
      <c r="BC262" s="404">
        <v>0</v>
      </c>
      <c r="BD262" s="404">
        <v>0</v>
      </c>
      <c r="BE262" s="404">
        <v>0</v>
      </c>
      <c r="BF262" s="404">
        <v>0</v>
      </c>
      <c r="BG262" s="404">
        <v>0</v>
      </c>
      <c r="BH262" s="404">
        <v>0</v>
      </c>
      <c r="BI262" s="404">
        <v>0</v>
      </c>
      <c r="BJ262" s="404">
        <v>0</v>
      </c>
      <c r="BK262" s="404">
        <v>0</v>
      </c>
      <c r="BL262" s="404">
        <v>0</v>
      </c>
      <c r="BM262" s="404">
        <v>0</v>
      </c>
      <c r="BN262" s="404">
        <v>0</v>
      </c>
      <c r="BO262" s="404">
        <v>0</v>
      </c>
      <c r="BP262" s="404">
        <v>0</v>
      </c>
      <c r="BQ262" s="404">
        <v>0</v>
      </c>
      <c r="BR262" s="404">
        <v>0</v>
      </c>
      <c r="BS262" s="404">
        <v>0</v>
      </c>
      <c r="BT262" s="404">
        <v>0</v>
      </c>
      <c r="BU262" s="404">
        <v>0</v>
      </c>
      <c r="BV262" s="404">
        <v>0</v>
      </c>
      <c r="BW262" s="404">
        <v>0</v>
      </c>
      <c r="BX262" s="404">
        <v>0</v>
      </c>
      <c r="BY262" s="404">
        <v>0</v>
      </c>
      <c r="BZ262" s="404">
        <v>0</v>
      </c>
      <c r="CA262" s="404">
        <v>0</v>
      </c>
      <c r="CB262" s="404">
        <v>0</v>
      </c>
      <c r="CC262" s="404">
        <v>0</v>
      </c>
      <c r="CD262" s="404">
        <v>0</v>
      </c>
      <c r="CE262" s="404">
        <v>0</v>
      </c>
      <c r="CF262" s="404">
        <v>0</v>
      </c>
      <c r="CG262" s="404">
        <v>0</v>
      </c>
      <c r="CH262" s="404">
        <v>0</v>
      </c>
      <c r="CI262" s="404">
        <v>10527530</v>
      </c>
      <c r="CJ262" s="404">
        <v>0</v>
      </c>
      <c r="CK262" s="404">
        <v>0</v>
      </c>
      <c r="CL262" s="404">
        <v>0</v>
      </c>
      <c r="CM262" s="404">
        <v>0</v>
      </c>
      <c r="CN262" s="404">
        <v>0</v>
      </c>
      <c r="CO262" s="404">
        <v>0</v>
      </c>
      <c r="CP262" s="404">
        <v>0</v>
      </c>
      <c r="CQ262" s="404">
        <v>0</v>
      </c>
      <c r="CR262" s="404">
        <v>0</v>
      </c>
    </row>
    <row r="263" spans="1:96" s="404" customFormat="1" ht="172.8" x14ac:dyDescent="0.3">
      <c r="A263" s="404">
        <v>603</v>
      </c>
      <c r="B263" s="405" t="s">
        <v>1792</v>
      </c>
      <c r="C263" s="404">
        <v>603</v>
      </c>
      <c r="D263" s="1126" t="s">
        <v>692</v>
      </c>
    </row>
    <row r="264" spans="1:96" s="404" customFormat="1" ht="129.6" x14ac:dyDescent="0.3">
      <c r="A264" s="404">
        <v>604</v>
      </c>
      <c r="B264" s="405" t="s">
        <v>1320</v>
      </c>
      <c r="C264" s="404">
        <v>604</v>
      </c>
      <c r="D264" s="1126" t="s">
        <v>693</v>
      </c>
    </row>
    <row r="265" spans="1:96" s="404" customFormat="1" x14ac:dyDescent="0.3">
      <c r="A265" s="404">
        <v>605</v>
      </c>
      <c r="B265" s="405"/>
      <c r="C265" s="404">
        <v>605</v>
      </c>
      <c r="D265" s="404" t="s">
        <v>695</v>
      </c>
      <c r="F265" s="404">
        <v>0</v>
      </c>
      <c r="G265" s="404">
        <v>0</v>
      </c>
      <c r="H265" s="404">
        <v>0</v>
      </c>
      <c r="I265" s="404">
        <v>0</v>
      </c>
      <c r="J265" s="404">
        <v>0</v>
      </c>
      <c r="K265" s="404">
        <v>0</v>
      </c>
      <c r="L265" s="404">
        <v>0</v>
      </c>
      <c r="M265" s="404">
        <v>0</v>
      </c>
      <c r="N265" s="404">
        <v>0</v>
      </c>
      <c r="O265" s="404">
        <v>0</v>
      </c>
      <c r="P265" s="404">
        <v>0</v>
      </c>
      <c r="Q265" s="404">
        <v>0</v>
      </c>
      <c r="R265" s="404">
        <v>0</v>
      </c>
      <c r="S265" s="404">
        <v>0</v>
      </c>
      <c r="T265" s="404">
        <v>0</v>
      </c>
      <c r="U265" s="404">
        <v>0</v>
      </c>
      <c r="V265" s="404">
        <v>0</v>
      </c>
      <c r="W265" s="404">
        <v>0</v>
      </c>
      <c r="X265" s="404">
        <v>0</v>
      </c>
      <c r="Y265" s="404">
        <v>0</v>
      </c>
      <c r="Z265" s="404">
        <v>0</v>
      </c>
      <c r="AA265" s="404">
        <v>0</v>
      </c>
      <c r="AB265" s="404">
        <v>0</v>
      </c>
      <c r="AC265" s="404">
        <v>0</v>
      </c>
      <c r="AD265" s="404">
        <v>0</v>
      </c>
      <c r="AE265" s="404">
        <v>0</v>
      </c>
      <c r="AF265" s="404">
        <v>0</v>
      </c>
      <c r="AG265" s="404">
        <v>0</v>
      </c>
      <c r="AH265" s="404">
        <v>0</v>
      </c>
      <c r="AI265" s="404">
        <v>0</v>
      </c>
      <c r="AJ265" s="404">
        <v>0</v>
      </c>
      <c r="AK265" s="404">
        <v>0</v>
      </c>
      <c r="AL265" s="404">
        <v>0</v>
      </c>
      <c r="AM265" s="404">
        <v>0</v>
      </c>
      <c r="AN265" s="404">
        <v>0</v>
      </c>
      <c r="AO265" s="404">
        <v>0</v>
      </c>
      <c r="AP265" s="404">
        <v>0</v>
      </c>
      <c r="AQ265" s="404">
        <v>0</v>
      </c>
      <c r="AR265" s="404">
        <v>0</v>
      </c>
      <c r="AS265" s="404">
        <v>0</v>
      </c>
      <c r="AT265" s="404">
        <v>0</v>
      </c>
      <c r="AU265" s="404">
        <v>0</v>
      </c>
      <c r="AV265" s="404">
        <v>0</v>
      </c>
      <c r="AW265" s="404">
        <v>0</v>
      </c>
      <c r="AX265" s="404">
        <v>0</v>
      </c>
      <c r="AY265" s="404">
        <v>0</v>
      </c>
      <c r="AZ265" s="404">
        <v>0</v>
      </c>
      <c r="BA265" s="404">
        <v>0</v>
      </c>
      <c r="BB265" s="404">
        <v>0</v>
      </c>
      <c r="BC265" s="404">
        <v>0</v>
      </c>
      <c r="BD265" s="404">
        <v>0</v>
      </c>
      <c r="BE265" s="404">
        <v>0</v>
      </c>
      <c r="BF265" s="404">
        <v>0</v>
      </c>
      <c r="BG265" s="404">
        <v>0</v>
      </c>
      <c r="BH265" s="404">
        <v>0</v>
      </c>
      <c r="BI265" s="404">
        <v>0</v>
      </c>
      <c r="BJ265" s="404">
        <v>0</v>
      </c>
      <c r="BK265" s="404">
        <v>0</v>
      </c>
      <c r="BL265" s="404">
        <v>0</v>
      </c>
      <c r="BM265" s="404">
        <v>0</v>
      </c>
      <c r="BN265" s="404">
        <v>0</v>
      </c>
      <c r="BO265" s="404">
        <v>0</v>
      </c>
      <c r="BP265" s="404">
        <v>0</v>
      </c>
      <c r="BQ265" s="404">
        <v>0</v>
      </c>
      <c r="BR265" s="404">
        <v>0</v>
      </c>
      <c r="BS265" s="404">
        <v>0</v>
      </c>
      <c r="BT265" s="404">
        <v>0</v>
      </c>
      <c r="BU265" s="404">
        <v>0</v>
      </c>
      <c r="BV265" s="404">
        <v>0</v>
      </c>
      <c r="BW265" s="404">
        <v>0</v>
      </c>
      <c r="BX265" s="404">
        <v>0</v>
      </c>
      <c r="BY265" s="404">
        <v>0</v>
      </c>
      <c r="BZ265" s="404">
        <v>0</v>
      </c>
      <c r="CA265" s="404">
        <v>0</v>
      </c>
      <c r="CB265" s="404">
        <v>0</v>
      </c>
      <c r="CC265" s="404">
        <v>0</v>
      </c>
      <c r="CD265" s="404">
        <v>0</v>
      </c>
      <c r="CE265" s="404">
        <v>0</v>
      </c>
      <c r="CF265" s="404">
        <v>0</v>
      </c>
      <c r="CG265" s="404">
        <v>0</v>
      </c>
      <c r="CH265" s="404">
        <v>0</v>
      </c>
      <c r="CI265" s="404">
        <v>0</v>
      </c>
      <c r="CJ265" s="404">
        <v>0</v>
      </c>
      <c r="CK265" s="404">
        <v>0</v>
      </c>
      <c r="CL265" s="404">
        <v>0</v>
      </c>
      <c r="CM265" s="404">
        <v>0</v>
      </c>
      <c r="CN265" s="404">
        <v>0</v>
      </c>
      <c r="CO265" s="404">
        <v>0</v>
      </c>
      <c r="CP265" s="404">
        <v>0</v>
      </c>
      <c r="CQ265" s="404">
        <v>0</v>
      </c>
      <c r="CR265" s="404">
        <v>0</v>
      </c>
    </row>
    <row r="266" spans="1:96" s="404" customFormat="1" x14ac:dyDescent="0.3">
      <c r="A266" s="404">
        <v>606</v>
      </c>
      <c r="B266" s="405" t="s">
        <v>1320</v>
      </c>
      <c r="C266" s="404">
        <v>606</v>
      </c>
      <c r="D266" s="404" t="s">
        <v>708</v>
      </c>
      <c r="F266" s="404">
        <v>0</v>
      </c>
      <c r="G266" s="404">
        <v>0</v>
      </c>
      <c r="H266" s="404">
        <v>0</v>
      </c>
      <c r="I266" s="404">
        <v>1</v>
      </c>
      <c r="J266" s="404">
        <v>0</v>
      </c>
      <c r="K266" s="404">
        <v>0</v>
      </c>
      <c r="L266" s="404">
        <v>1</v>
      </c>
      <c r="M266" s="404">
        <v>0</v>
      </c>
      <c r="N266" s="404">
        <v>0</v>
      </c>
      <c r="O266" s="404">
        <v>0</v>
      </c>
      <c r="P266" s="404">
        <v>1</v>
      </c>
      <c r="Q266" s="404">
        <v>0</v>
      </c>
      <c r="R266" s="404">
        <v>0</v>
      </c>
      <c r="S266" s="404">
        <v>0</v>
      </c>
      <c r="T266" s="404">
        <v>0</v>
      </c>
      <c r="U266" s="404">
        <v>0</v>
      </c>
      <c r="V266" s="404">
        <v>1</v>
      </c>
      <c r="W266" s="404">
        <v>0</v>
      </c>
      <c r="X266" s="404">
        <v>0</v>
      </c>
      <c r="Y266" s="404">
        <v>1</v>
      </c>
      <c r="Z266" s="404">
        <v>1</v>
      </c>
      <c r="AA266" s="404">
        <v>0</v>
      </c>
      <c r="AB266" s="404">
        <v>0</v>
      </c>
      <c r="AC266" s="404">
        <v>0</v>
      </c>
      <c r="AD266" s="404">
        <v>0</v>
      </c>
      <c r="AE266" s="404">
        <v>0</v>
      </c>
      <c r="AF266" s="404">
        <v>1</v>
      </c>
      <c r="AG266" s="404">
        <v>0</v>
      </c>
      <c r="AH266" s="404">
        <v>1</v>
      </c>
      <c r="AI266" s="404">
        <v>0</v>
      </c>
      <c r="AJ266" s="404">
        <v>1</v>
      </c>
      <c r="AK266" s="404">
        <v>0</v>
      </c>
      <c r="AL266" s="404">
        <v>0</v>
      </c>
      <c r="AM266" s="404">
        <v>0</v>
      </c>
      <c r="AN266" s="404">
        <v>0</v>
      </c>
      <c r="AO266" s="404">
        <v>0</v>
      </c>
      <c r="AP266" s="404">
        <v>0</v>
      </c>
      <c r="AQ266" s="404">
        <v>1</v>
      </c>
      <c r="AR266" s="404">
        <v>0</v>
      </c>
      <c r="AS266" s="404">
        <v>0</v>
      </c>
      <c r="AT266" s="404">
        <v>0</v>
      </c>
      <c r="AU266" s="404">
        <v>0</v>
      </c>
      <c r="AV266" s="404">
        <v>0</v>
      </c>
      <c r="AW266" s="404">
        <v>0</v>
      </c>
      <c r="AX266" s="404">
        <v>1</v>
      </c>
      <c r="AY266" s="404">
        <v>0</v>
      </c>
      <c r="AZ266" s="404">
        <v>1</v>
      </c>
      <c r="BA266" s="404">
        <v>0</v>
      </c>
      <c r="BB266" s="404">
        <v>1</v>
      </c>
      <c r="BC266" s="404">
        <v>0</v>
      </c>
      <c r="BD266" s="404">
        <v>0</v>
      </c>
      <c r="BE266" s="404">
        <v>0</v>
      </c>
      <c r="BF266" s="404">
        <v>0</v>
      </c>
      <c r="BG266" s="404">
        <v>1</v>
      </c>
      <c r="BH266" s="404">
        <v>0</v>
      </c>
      <c r="BI266" s="404">
        <v>1</v>
      </c>
      <c r="BJ266" s="404">
        <v>0</v>
      </c>
      <c r="BK266" s="404">
        <v>0</v>
      </c>
      <c r="BL266" s="404">
        <v>0</v>
      </c>
      <c r="BM266" s="404">
        <v>0</v>
      </c>
      <c r="BN266" s="404">
        <v>0</v>
      </c>
      <c r="BO266" s="404">
        <v>0</v>
      </c>
      <c r="BP266" s="404">
        <v>0</v>
      </c>
      <c r="BQ266" s="404">
        <v>0</v>
      </c>
      <c r="BR266" s="404">
        <v>0</v>
      </c>
      <c r="BS266" s="404">
        <v>0</v>
      </c>
      <c r="BT266" s="404">
        <v>0</v>
      </c>
      <c r="BU266" s="404">
        <v>1</v>
      </c>
      <c r="BV266" s="404">
        <v>0</v>
      </c>
      <c r="BW266" s="404">
        <v>0</v>
      </c>
      <c r="BX266" s="404">
        <v>0</v>
      </c>
      <c r="BY266" s="404">
        <v>1</v>
      </c>
      <c r="BZ266" s="404">
        <v>0</v>
      </c>
      <c r="CA266" s="404">
        <v>0</v>
      </c>
      <c r="CB266" s="404">
        <v>0</v>
      </c>
      <c r="CC266" s="404">
        <v>1</v>
      </c>
      <c r="CD266" s="404">
        <v>1</v>
      </c>
      <c r="CE266" s="404">
        <v>1</v>
      </c>
      <c r="CF266" s="404">
        <v>1</v>
      </c>
      <c r="CG266" s="404">
        <v>0</v>
      </c>
      <c r="CH266" s="404">
        <v>0</v>
      </c>
      <c r="CI266" s="404">
        <v>1</v>
      </c>
      <c r="CJ266" s="404">
        <v>1</v>
      </c>
      <c r="CK266" s="404">
        <v>0</v>
      </c>
      <c r="CL266" s="404">
        <v>0</v>
      </c>
      <c r="CM266" s="404">
        <v>0</v>
      </c>
      <c r="CN266" s="404">
        <v>0</v>
      </c>
      <c r="CO266" s="404">
        <v>0</v>
      </c>
      <c r="CP266" s="404">
        <v>1</v>
      </c>
      <c r="CQ266" s="404">
        <v>0</v>
      </c>
      <c r="CR266" s="404">
        <v>0</v>
      </c>
    </row>
    <row r="267" spans="1:96" s="404" customFormat="1" x14ac:dyDescent="0.3">
      <c r="A267" s="404">
        <v>607</v>
      </c>
      <c r="B267" s="405" t="s">
        <v>1793</v>
      </c>
      <c r="C267" s="404">
        <v>607</v>
      </c>
      <c r="D267" s="404" t="s">
        <v>685</v>
      </c>
      <c r="F267" s="404">
        <v>0</v>
      </c>
      <c r="G267" s="404">
        <v>0</v>
      </c>
      <c r="H267" s="404">
        <v>0</v>
      </c>
      <c r="I267" s="404">
        <v>0</v>
      </c>
      <c r="J267" s="404">
        <v>0</v>
      </c>
      <c r="K267" s="404">
        <v>0</v>
      </c>
      <c r="L267" s="404">
        <v>0</v>
      </c>
      <c r="M267" s="404">
        <v>0</v>
      </c>
      <c r="N267" s="404">
        <v>0</v>
      </c>
      <c r="O267" s="404">
        <v>0</v>
      </c>
      <c r="P267" s="404">
        <v>0</v>
      </c>
      <c r="Q267" s="404">
        <v>0</v>
      </c>
      <c r="R267" s="404">
        <v>0</v>
      </c>
      <c r="S267" s="404">
        <v>0</v>
      </c>
      <c r="T267" s="404">
        <v>0</v>
      </c>
      <c r="U267" s="404">
        <v>0</v>
      </c>
      <c r="V267" s="404">
        <v>0</v>
      </c>
      <c r="W267" s="404">
        <v>0</v>
      </c>
      <c r="X267" s="404">
        <v>0</v>
      </c>
      <c r="Y267" s="404">
        <v>0</v>
      </c>
      <c r="Z267" s="404">
        <v>0</v>
      </c>
      <c r="AA267" s="404">
        <v>0</v>
      </c>
      <c r="AB267" s="404">
        <v>0</v>
      </c>
      <c r="AC267" s="404">
        <v>0</v>
      </c>
      <c r="AD267" s="404">
        <v>0</v>
      </c>
      <c r="AE267" s="404">
        <v>0</v>
      </c>
      <c r="AF267" s="404">
        <v>0</v>
      </c>
      <c r="AG267" s="404">
        <v>0</v>
      </c>
      <c r="AH267" s="404">
        <v>0</v>
      </c>
      <c r="AI267" s="404">
        <v>0</v>
      </c>
      <c r="AJ267" s="404">
        <v>0</v>
      </c>
      <c r="AK267" s="404">
        <v>0</v>
      </c>
      <c r="AL267" s="404">
        <v>0</v>
      </c>
      <c r="AM267" s="404">
        <v>0</v>
      </c>
      <c r="AN267" s="404">
        <v>0</v>
      </c>
      <c r="AO267" s="404">
        <v>0</v>
      </c>
      <c r="AP267" s="404">
        <v>0</v>
      </c>
      <c r="AQ267" s="404">
        <v>0</v>
      </c>
      <c r="AR267" s="404">
        <v>0</v>
      </c>
      <c r="AS267" s="404">
        <v>0</v>
      </c>
      <c r="AT267" s="404">
        <v>0</v>
      </c>
      <c r="AU267" s="404">
        <v>0</v>
      </c>
      <c r="AV267" s="404">
        <v>0</v>
      </c>
      <c r="AW267" s="404">
        <v>0</v>
      </c>
      <c r="AX267" s="404">
        <v>0</v>
      </c>
      <c r="AY267" s="404">
        <v>0</v>
      </c>
      <c r="AZ267" s="404">
        <v>0</v>
      </c>
      <c r="BA267" s="404">
        <v>0</v>
      </c>
      <c r="BB267" s="404">
        <v>0</v>
      </c>
      <c r="BC267" s="404">
        <v>0</v>
      </c>
      <c r="BD267" s="404">
        <v>0</v>
      </c>
      <c r="BE267" s="404">
        <v>0</v>
      </c>
      <c r="BF267" s="404">
        <v>0</v>
      </c>
      <c r="BG267" s="404">
        <v>0</v>
      </c>
      <c r="BH267" s="404">
        <v>0</v>
      </c>
      <c r="BI267" s="404">
        <v>0</v>
      </c>
      <c r="BJ267" s="404">
        <v>0</v>
      </c>
      <c r="BK267" s="404">
        <v>0</v>
      </c>
      <c r="BL267" s="404">
        <v>0</v>
      </c>
      <c r="BM267" s="404">
        <v>0</v>
      </c>
      <c r="BN267" s="404">
        <v>0</v>
      </c>
      <c r="BO267" s="404">
        <v>0</v>
      </c>
      <c r="BP267" s="404">
        <v>0</v>
      </c>
      <c r="BQ267" s="404">
        <v>0</v>
      </c>
      <c r="BR267" s="404">
        <v>0</v>
      </c>
      <c r="BS267" s="404">
        <v>0</v>
      </c>
      <c r="BT267" s="404">
        <v>0</v>
      </c>
      <c r="BU267" s="404">
        <v>0</v>
      </c>
      <c r="BV267" s="404">
        <v>0</v>
      </c>
      <c r="BW267" s="404">
        <v>0</v>
      </c>
      <c r="BX267" s="404">
        <v>0</v>
      </c>
      <c r="BY267" s="404">
        <v>0</v>
      </c>
      <c r="BZ267" s="404">
        <v>0</v>
      </c>
      <c r="CA267" s="404">
        <v>0</v>
      </c>
      <c r="CB267" s="404">
        <v>0</v>
      </c>
      <c r="CC267" s="404">
        <v>0</v>
      </c>
      <c r="CD267" s="404">
        <v>0</v>
      </c>
      <c r="CE267" s="404">
        <v>0</v>
      </c>
      <c r="CF267" s="404">
        <v>0</v>
      </c>
      <c r="CG267" s="404">
        <v>0</v>
      </c>
      <c r="CH267" s="404">
        <v>0</v>
      </c>
      <c r="CI267" s="404">
        <v>0</v>
      </c>
      <c r="CJ267" s="404">
        <v>0</v>
      </c>
      <c r="CK267" s="404">
        <v>0</v>
      </c>
      <c r="CL267" s="404">
        <v>0</v>
      </c>
      <c r="CM267" s="404">
        <v>0</v>
      </c>
      <c r="CN267" s="404">
        <v>0</v>
      </c>
      <c r="CO267" s="404">
        <v>0</v>
      </c>
      <c r="CP267" s="404">
        <v>0</v>
      </c>
      <c r="CQ267" s="404">
        <v>0</v>
      </c>
      <c r="CR267" s="404">
        <v>0</v>
      </c>
    </row>
    <row r="268" spans="1:96" s="404" customFormat="1" x14ac:dyDescent="0.3">
      <c r="A268" s="404">
        <v>608</v>
      </c>
      <c r="B268" s="405" t="s">
        <v>1793</v>
      </c>
      <c r="C268" s="404">
        <v>608</v>
      </c>
      <c r="D268" s="404" t="s">
        <v>686</v>
      </c>
      <c r="F268" s="404">
        <v>0</v>
      </c>
      <c r="G268" s="404">
        <v>0</v>
      </c>
      <c r="H268" s="404">
        <v>0</v>
      </c>
      <c r="I268" s="404">
        <v>0</v>
      </c>
      <c r="J268" s="404">
        <v>0</v>
      </c>
      <c r="K268" s="404">
        <v>0</v>
      </c>
      <c r="L268" s="404">
        <v>0</v>
      </c>
      <c r="M268" s="404">
        <v>0</v>
      </c>
      <c r="N268" s="404">
        <v>0</v>
      </c>
      <c r="O268" s="404">
        <v>0</v>
      </c>
      <c r="P268" s="404">
        <v>0</v>
      </c>
      <c r="Q268" s="404">
        <v>0</v>
      </c>
      <c r="R268" s="404">
        <v>0</v>
      </c>
      <c r="S268" s="404">
        <v>0</v>
      </c>
      <c r="T268" s="404">
        <v>0</v>
      </c>
      <c r="U268" s="404">
        <v>0</v>
      </c>
      <c r="V268" s="404">
        <v>0</v>
      </c>
      <c r="W268" s="404">
        <v>0</v>
      </c>
      <c r="X268" s="404">
        <v>0</v>
      </c>
      <c r="Y268" s="404">
        <v>0</v>
      </c>
      <c r="Z268" s="404">
        <v>0</v>
      </c>
      <c r="AA268" s="404">
        <v>0</v>
      </c>
      <c r="AB268" s="404">
        <v>0</v>
      </c>
      <c r="AC268" s="404">
        <v>0</v>
      </c>
      <c r="AD268" s="404">
        <v>0</v>
      </c>
      <c r="AE268" s="404">
        <v>0</v>
      </c>
      <c r="AF268" s="404">
        <v>0</v>
      </c>
      <c r="AG268" s="404">
        <v>0</v>
      </c>
      <c r="AH268" s="404">
        <v>0</v>
      </c>
      <c r="AI268" s="404">
        <v>0</v>
      </c>
      <c r="AJ268" s="404">
        <v>0</v>
      </c>
      <c r="AK268" s="404">
        <v>0</v>
      </c>
      <c r="AL268" s="404">
        <v>0</v>
      </c>
      <c r="AM268" s="404">
        <v>0</v>
      </c>
      <c r="AN268" s="404">
        <v>0</v>
      </c>
      <c r="AO268" s="404">
        <v>0</v>
      </c>
      <c r="AP268" s="404">
        <v>0</v>
      </c>
      <c r="AQ268" s="404">
        <v>0</v>
      </c>
      <c r="AR268" s="404">
        <v>0</v>
      </c>
      <c r="AS268" s="404">
        <v>0</v>
      </c>
      <c r="AT268" s="404">
        <v>0</v>
      </c>
      <c r="AU268" s="404">
        <v>0</v>
      </c>
      <c r="AV268" s="404">
        <v>0</v>
      </c>
      <c r="AW268" s="404">
        <v>0</v>
      </c>
      <c r="AX268" s="404">
        <v>0</v>
      </c>
      <c r="AY268" s="404">
        <v>0</v>
      </c>
      <c r="AZ268" s="404">
        <v>0</v>
      </c>
      <c r="BA268" s="404">
        <v>0</v>
      </c>
      <c r="BB268" s="404">
        <v>0</v>
      </c>
      <c r="BC268" s="404">
        <v>0</v>
      </c>
      <c r="BD268" s="404">
        <v>0</v>
      </c>
      <c r="BE268" s="404">
        <v>0</v>
      </c>
      <c r="BF268" s="404">
        <v>0</v>
      </c>
      <c r="BG268" s="404">
        <v>0</v>
      </c>
      <c r="BH268" s="404">
        <v>0</v>
      </c>
      <c r="BI268" s="404">
        <v>0</v>
      </c>
      <c r="BJ268" s="404">
        <v>0</v>
      </c>
      <c r="BK268" s="404">
        <v>0</v>
      </c>
      <c r="BL268" s="404">
        <v>0</v>
      </c>
      <c r="BM268" s="404">
        <v>0</v>
      </c>
      <c r="BN268" s="404">
        <v>0</v>
      </c>
      <c r="BO268" s="404">
        <v>0</v>
      </c>
      <c r="BP268" s="404">
        <v>0</v>
      </c>
      <c r="BQ268" s="404">
        <v>0</v>
      </c>
      <c r="BR268" s="404">
        <v>0</v>
      </c>
      <c r="BS268" s="404">
        <v>0</v>
      </c>
      <c r="BT268" s="404">
        <v>0</v>
      </c>
      <c r="BU268" s="404">
        <v>0</v>
      </c>
      <c r="BV268" s="404">
        <v>0</v>
      </c>
      <c r="BW268" s="404">
        <v>0</v>
      </c>
      <c r="BX268" s="404">
        <v>0</v>
      </c>
      <c r="BY268" s="404">
        <v>0</v>
      </c>
      <c r="BZ268" s="404">
        <v>0</v>
      </c>
      <c r="CA268" s="404">
        <v>0</v>
      </c>
      <c r="CB268" s="404">
        <v>0</v>
      </c>
      <c r="CC268" s="404">
        <v>0</v>
      </c>
      <c r="CD268" s="404">
        <v>0</v>
      </c>
      <c r="CE268" s="404">
        <v>0</v>
      </c>
      <c r="CF268" s="404">
        <v>0</v>
      </c>
      <c r="CG268" s="404">
        <v>0</v>
      </c>
      <c r="CH268" s="404">
        <v>0</v>
      </c>
      <c r="CI268" s="404">
        <v>0</v>
      </c>
      <c r="CJ268" s="404">
        <v>0</v>
      </c>
      <c r="CK268" s="404">
        <v>0</v>
      </c>
      <c r="CL268" s="404">
        <v>0</v>
      </c>
      <c r="CM268" s="404">
        <v>0</v>
      </c>
      <c r="CN268" s="404">
        <v>0</v>
      </c>
      <c r="CO268" s="404">
        <v>0</v>
      </c>
      <c r="CP268" s="404">
        <v>0</v>
      </c>
      <c r="CQ268" s="404">
        <v>0</v>
      </c>
      <c r="CR268" s="404">
        <v>0</v>
      </c>
    </row>
    <row r="269" spans="1:96" s="404" customFormat="1" x14ac:dyDescent="0.3">
      <c r="A269" s="404">
        <v>609</v>
      </c>
      <c r="B269" s="405" t="s">
        <v>1793</v>
      </c>
      <c r="C269" s="404">
        <v>609</v>
      </c>
      <c r="D269" s="404" t="s">
        <v>1785</v>
      </c>
      <c r="F269" s="404">
        <v>0</v>
      </c>
      <c r="G269" s="404">
        <v>0</v>
      </c>
      <c r="H269" s="404">
        <v>0</v>
      </c>
      <c r="I269" s="404">
        <v>0</v>
      </c>
      <c r="J269" s="404">
        <v>0</v>
      </c>
      <c r="K269" s="404">
        <v>0</v>
      </c>
      <c r="L269" s="404">
        <v>0</v>
      </c>
      <c r="M269" s="404">
        <v>0</v>
      </c>
      <c r="N269" s="404">
        <v>0</v>
      </c>
      <c r="O269" s="404">
        <v>0</v>
      </c>
      <c r="P269" s="404">
        <v>0</v>
      </c>
      <c r="Q269" s="404">
        <v>0</v>
      </c>
      <c r="R269" s="404">
        <v>0</v>
      </c>
      <c r="S269" s="404">
        <v>0</v>
      </c>
      <c r="T269" s="404">
        <v>0</v>
      </c>
      <c r="U269" s="404">
        <v>0</v>
      </c>
      <c r="V269" s="404">
        <v>0</v>
      </c>
      <c r="W269" s="404">
        <v>0</v>
      </c>
      <c r="X269" s="404">
        <v>0</v>
      </c>
      <c r="Y269" s="404">
        <v>0</v>
      </c>
      <c r="Z269" s="404">
        <v>0</v>
      </c>
      <c r="AA269" s="404">
        <v>0</v>
      </c>
      <c r="AB269" s="404">
        <v>0</v>
      </c>
      <c r="AC269" s="404">
        <v>0</v>
      </c>
      <c r="AD269" s="404">
        <v>0</v>
      </c>
      <c r="AE269" s="404">
        <v>0</v>
      </c>
      <c r="AF269" s="404">
        <v>0</v>
      </c>
      <c r="AG269" s="404">
        <v>0</v>
      </c>
      <c r="AH269" s="404">
        <v>0</v>
      </c>
      <c r="AI269" s="404">
        <v>0</v>
      </c>
      <c r="AJ269" s="404">
        <v>0</v>
      </c>
      <c r="AK269" s="404">
        <v>0</v>
      </c>
      <c r="AL269" s="404">
        <v>0</v>
      </c>
      <c r="AM269" s="404">
        <v>0</v>
      </c>
      <c r="AN269" s="404">
        <v>0</v>
      </c>
      <c r="AO269" s="404">
        <v>0</v>
      </c>
      <c r="AP269" s="404">
        <v>0</v>
      </c>
      <c r="AQ269" s="404">
        <v>0</v>
      </c>
      <c r="AR269" s="404">
        <v>0</v>
      </c>
      <c r="AS269" s="404">
        <v>0</v>
      </c>
      <c r="AT269" s="404">
        <v>0</v>
      </c>
      <c r="AU269" s="404">
        <v>0</v>
      </c>
      <c r="AV269" s="404">
        <v>0</v>
      </c>
      <c r="AW269" s="404">
        <v>0</v>
      </c>
      <c r="AX269" s="404">
        <v>0</v>
      </c>
      <c r="AY269" s="404">
        <v>0</v>
      </c>
      <c r="AZ269" s="404">
        <v>0</v>
      </c>
      <c r="BA269" s="404">
        <v>0</v>
      </c>
      <c r="BB269" s="404">
        <v>0</v>
      </c>
      <c r="BC269" s="404">
        <v>0</v>
      </c>
      <c r="BD269" s="404">
        <v>0</v>
      </c>
      <c r="BE269" s="404">
        <v>0</v>
      </c>
      <c r="BF269" s="404">
        <v>0</v>
      </c>
      <c r="BG269" s="404">
        <v>0</v>
      </c>
      <c r="BH269" s="404">
        <v>0</v>
      </c>
      <c r="BI269" s="404">
        <v>0</v>
      </c>
      <c r="BJ269" s="404">
        <v>0</v>
      </c>
      <c r="BK269" s="404">
        <v>0</v>
      </c>
      <c r="BL269" s="404">
        <v>0</v>
      </c>
      <c r="BM269" s="404">
        <v>0</v>
      </c>
      <c r="BN269" s="404">
        <v>0</v>
      </c>
      <c r="BO269" s="404">
        <v>0</v>
      </c>
      <c r="BP269" s="404">
        <v>0</v>
      </c>
      <c r="BQ269" s="404">
        <v>0</v>
      </c>
      <c r="BR269" s="404">
        <v>0</v>
      </c>
      <c r="BS269" s="404">
        <v>0</v>
      </c>
      <c r="BT269" s="404">
        <v>0</v>
      </c>
      <c r="BU269" s="404">
        <v>0</v>
      </c>
      <c r="BV269" s="404">
        <v>0</v>
      </c>
      <c r="BW269" s="404">
        <v>0</v>
      </c>
      <c r="BX269" s="404">
        <v>0</v>
      </c>
      <c r="BY269" s="404">
        <v>0</v>
      </c>
      <c r="BZ269" s="404">
        <v>0</v>
      </c>
      <c r="CA269" s="404">
        <v>0</v>
      </c>
      <c r="CB269" s="404">
        <v>0</v>
      </c>
      <c r="CC269" s="404">
        <v>0</v>
      </c>
      <c r="CD269" s="404">
        <v>0</v>
      </c>
      <c r="CE269" s="404">
        <v>0</v>
      </c>
      <c r="CF269" s="404">
        <v>0</v>
      </c>
      <c r="CG269" s="404">
        <v>0</v>
      </c>
      <c r="CH269" s="404">
        <v>0</v>
      </c>
      <c r="CI269" s="404">
        <v>0</v>
      </c>
      <c r="CJ269" s="404">
        <v>0</v>
      </c>
      <c r="CK269" s="404">
        <v>0</v>
      </c>
      <c r="CL269" s="404">
        <v>0</v>
      </c>
      <c r="CM269" s="404">
        <v>0</v>
      </c>
      <c r="CN269" s="404">
        <v>0</v>
      </c>
      <c r="CO269" s="404">
        <v>0</v>
      </c>
      <c r="CP269" s="404">
        <v>0</v>
      </c>
      <c r="CQ269" s="404">
        <v>0</v>
      </c>
      <c r="CR269" s="404">
        <v>0</v>
      </c>
    </row>
    <row r="270" spans="1:96" s="404" customFormat="1" x14ac:dyDescent="0.3">
      <c r="A270" s="404">
        <v>610</v>
      </c>
      <c r="B270" s="405" t="s">
        <v>1793</v>
      </c>
      <c r="C270" s="404">
        <v>610</v>
      </c>
      <c r="D270" s="404" t="s">
        <v>687</v>
      </c>
      <c r="F270" s="404">
        <v>0</v>
      </c>
      <c r="G270" s="404">
        <v>0</v>
      </c>
      <c r="H270" s="404">
        <v>0</v>
      </c>
      <c r="I270" s="404">
        <v>0</v>
      </c>
      <c r="J270" s="404">
        <v>0</v>
      </c>
      <c r="K270" s="404">
        <v>0</v>
      </c>
      <c r="L270" s="404">
        <v>0</v>
      </c>
      <c r="M270" s="404">
        <v>0</v>
      </c>
      <c r="N270" s="404">
        <v>0</v>
      </c>
      <c r="O270" s="404">
        <v>0</v>
      </c>
      <c r="P270" s="404">
        <v>0</v>
      </c>
      <c r="Q270" s="404">
        <v>0</v>
      </c>
      <c r="R270" s="404">
        <v>0</v>
      </c>
      <c r="S270" s="404">
        <v>0</v>
      </c>
      <c r="T270" s="404">
        <v>0</v>
      </c>
      <c r="U270" s="404">
        <v>0</v>
      </c>
      <c r="V270" s="404">
        <v>0</v>
      </c>
      <c r="W270" s="404">
        <v>0</v>
      </c>
      <c r="X270" s="404">
        <v>0</v>
      </c>
      <c r="Y270" s="404">
        <v>0</v>
      </c>
      <c r="Z270" s="404">
        <v>0</v>
      </c>
      <c r="AA270" s="404">
        <v>0</v>
      </c>
      <c r="AB270" s="404">
        <v>0</v>
      </c>
      <c r="AC270" s="404">
        <v>0</v>
      </c>
      <c r="AD270" s="404">
        <v>0</v>
      </c>
      <c r="AE270" s="404">
        <v>0</v>
      </c>
      <c r="AF270" s="404">
        <v>0</v>
      </c>
      <c r="AG270" s="404">
        <v>0</v>
      </c>
      <c r="AH270" s="404">
        <v>0</v>
      </c>
      <c r="AI270" s="404">
        <v>0</v>
      </c>
      <c r="AJ270" s="404">
        <v>0</v>
      </c>
      <c r="AK270" s="404">
        <v>0</v>
      </c>
      <c r="AL270" s="404">
        <v>0</v>
      </c>
      <c r="AM270" s="404">
        <v>0</v>
      </c>
      <c r="AN270" s="404">
        <v>0</v>
      </c>
      <c r="AO270" s="404">
        <v>0</v>
      </c>
      <c r="AP270" s="404">
        <v>0</v>
      </c>
      <c r="AQ270" s="404">
        <v>0</v>
      </c>
      <c r="AR270" s="404">
        <v>0</v>
      </c>
      <c r="AS270" s="404">
        <v>0</v>
      </c>
      <c r="AT270" s="404">
        <v>0</v>
      </c>
      <c r="AU270" s="404">
        <v>0</v>
      </c>
      <c r="AV270" s="404">
        <v>0</v>
      </c>
      <c r="AW270" s="404">
        <v>0</v>
      </c>
      <c r="AX270" s="404">
        <v>0</v>
      </c>
      <c r="AY270" s="404">
        <v>0</v>
      </c>
      <c r="AZ270" s="404">
        <v>0</v>
      </c>
      <c r="BA270" s="404">
        <v>0</v>
      </c>
      <c r="BB270" s="404">
        <v>0</v>
      </c>
      <c r="BC270" s="404">
        <v>0</v>
      </c>
      <c r="BD270" s="404">
        <v>0</v>
      </c>
      <c r="BE270" s="404">
        <v>0</v>
      </c>
      <c r="BF270" s="404">
        <v>0</v>
      </c>
      <c r="BG270" s="404">
        <v>0</v>
      </c>
      <c r="BH270" s="404">
        <v>0</v>
      </c>
      <c r="BI270" s="404">
        <v>0</v>
      </c>
      <c r="BJ270" s="404">
        <v>0</v>
      </c>
      <c r="BK270" s="404">
        <v>0</v>
      </c>
      <c r="BL270" s="404">
        <v>0</v>
      </c>
      <c r="BM270" s="404">
        <v>0</v>
      </c>
      <c r="BN270" s="404">
        <v>0</v>
      </c>
      <c r="BO270" s="404">
        <v>0</v>
      </c>
      <c r="BP270" s="404">
        <v>0</v>
      </c>
      <c r="BQ270" s="404">
        <v>0</v>
      </c>
      <c r="BR270" s="404">
        <v>0</v>
      </c>
      <c r="BS270" s="404">
        <v>0</v>
      </c>
      <c r="BT270" s="404">
        <v>0</v>
      </c>
      <c r="BU270" s="404">
        <v>0</v>
      </c>
      <c r="BV270" s="404">
        <v>0</v>
      </c>
      <c r="BW270" s="404">
        <v>0</v>
      </c>
      <c r="BX270" s="404">
        <v>0</v>
      </c>
      <c r="BY270" s="404">
        <v>0</v>
      </c>
      <c r="BZ270" s="404">
        <v>0</v>
      </c>
      <c r="CA270" s="404">
        <v>0</v>
      </c>
      <c r="CB270" s="404">
        <v>0</v>
      </c>
      <c r="CC270" s="404">
        <v>0</v>
      </c>
      <c r="CD270" s="404">
        <v>0</v>
      </c>
      <c r="CE270" s="404">
        <v>0</v>
      </c>
      <c r="CF270" s="404">
        <v>0</v>
      </c>
      <c r="CG270" s="404">
        <v>0</v>
      </c>
      <c r="CH270" s="404">
        <v>0</v>
      </c>
      <c r="CI270" s="404">
        <v>0</v>
      </c>
      <c r="CJ270" s="404">
        <v>0</v>
      </c>
      <c r="CK270" s="404">
        <v>0</v>
      </c>
      <c r="CL270" s="404">
        <v>0</v>
      </c>
      <c r="CM270" s="404">
        <v>0</v>
      </c>
      <c r="CN270" s="404">
        <v>0</v>
      </c>
      <c r="CO270" s="404">
        <v>0</v>
      </c>
      <c r="CP270" s="404">
        <v>0</v>
      </c>
      <c r="CQ270" s="404">
        <v>0</v>
      </c>
      <c r="CR270" s="404">
        <v>0</v>
      </c>
    </row>
    <row r="271" spans="1:96" s="404" customFormat="1" x14ac:dyDescent="0.3">
      <c r="A271" s="404">
        <v>611</v>
      </c>
      <c r="B271" s="405" t="s">
        <v>1793</v>
      </c>
      <c r="C271" s="404">
        <v>611</v>
      </c>
      <c r="D271" s="404" t="s">
        <v>688</v>
      </c>
      <c r="F271" s="404">
        <v>0</v>
      </c>
      <c r="G271" s="404">
        <v>0</v>
      </c>
      <c r="H271" s="404">
        <v>0</v>
      </c>
      <c r="I271" s="404">
        <v>0</v>
      </c>
      <c r="J271" s="404">
        <v>0</v>
      </c>
      <c r="K271" s="404">
        <v>0</v>
      </c>
      <c r="L271" s="404">
        <v>0</v>
      </c>
      <c r="M271" s="404">
        <v>0</v>
      </c>
      <c r="N271" s="404">
        <v>0</v>
      </c>
      <c r="O271" s="404">
        <v>0</v>
      </c>
      <c r="P271" s="404">
        <v>0</v>
      </c>
      <c r="Q271" s="404">
        <v>0</v>
      </c>
      <c r="R271" s="404">
        <v>0</v>
      </c>
      <c r="S271" s="404">
        <v>0</v>
      </c>
      <c r="T271" s="404">
        <v>0</v>
      </c>
      <c r="U271" s="404">
        <v>0</v>
      </c>
      <c r="V271" s="404">
        <v>0</v>
      </c>
      <c r="W271" s="404">
        <v>0</v>
      </c>
      <c r="X271" s="404">
        <v>0</v>
      </c>
      <c r="Y271" s="404">
        <v>0</v>
      </c>
      <c r="Z271" s="404">
        <v>0</v>
      </c>
      <c r="AA271" s="404">
        <v>0</v>
      </c>
      <c r="AB271" s="404">
        <v>0</v>
      </c>
      <c r="AC271" s="404">
        <v>0</v>
      </c>
      <c r="AD271" s="404">
        <v>0</v>
      </c>
      <c r="AE271" s="404">
        <v>0</v>
      </c>
      <c r="AF271" s="404">
        <v>0</v>
      </c>
      <c r="AG271" s="404">
        <v>0</v>
      </c>
      <c r="AH271" s="404">
        <v>0</v>
      </c>
      <c r="AI271" s="404">
        <v>0</v>
      </c>
      <c r="AJ271" s="404">
        <v>0</v>
      </c>
      <c r="AK271" s="404">
        <v>0</v>
      </c>
      <c r="AL271" s="404">
        <v>0</v>
      </c>
      <c r="AM271" s="404">
        <v>0</v>
      </c>
      <c r="AN271" s="404">
        <v>0</v>
      </c>
      <c r="AO271" s="404">
        <v>0</v>
      </c>
      <c r="AP271" s="404">
        <v>0</v>
      </c>
      <c r="AQ271" s="404">
        <v>0</v>
      </c>
      <c r="AR271" s="404">
        <v>0</v>
      </c>
      <c r="AS271" s="404">
        <v>0</v>
      </c>
      <c r="AT271" s="404">
        <v>0</v>
      </c>
      <c r="AU271" s="404">
        <v>0</v>
      </c>
      <c r="AV271" s="404">
        <v>0</v>
      </c>
      <c r="AW271" s="404">
        <v>0</v>
      </c>
      <c r="AX271" s="404">
        <v>0</v>
      </c>
      <c r="AY271" s="404">
        <v>0</v>
      </c>
      <c r="AZ271" s="404">
        <v>0</v>
      </c>
      <c r="BA271" s="404">
        <v>0</v>
      </c>
      <c r="BB271" s="404">
        <v>0</v>
      </c>
      <c r="BC271" s="404">
        <v>0</v>
      </c>
      <c r="BD271" s="404">
        <v>0</v>
      </c>
      <c r="BE271" s="404">
        <v>0</v>
      </c>
      <c r="BF271" s="404">
        <v>0</v>
      </c>
      <c r="BG271" s="404">
        <v>0</v>
      </c>
      <c r="BH271" s="404">
        <v>0</v>
      </c>
      <c r="BI271" s="404">
        <v>0</v>
      </c>
      <c r="BJ271" s="404">
        <v>0</v>
      </c>
      <c r="BK271" s="404">
        <v>0</v>
      </c>
      <c r="BL271" s="404">
        <v>0</v>
      </c>
      <c r="BM271" s="404">
        <v>0</v>
      </c>
      <c r="BN271" s="404">
        <v>0</v>
      </c>
      <c r="BO271" s="404">
        <v>0</v>
      </c>
      <c r="BP271" s="404">
        <v>0</v>
      </c>
      <c r="BQ271" s="404">
        <v>0</v>
      </c>
      <c r="BR271" s="404">
        <v>0</v>
      </c>
      <c r="BS271" s="404">
        <v>0</v>
      </c>
      <c r="BT271" s="404">
        <v>0</v>
      </c>
      <c r="BU271" s="404">
        <v>0</v>
      </c>
      <c r="BV271" s="404">
        <v>0</v>
      </c>
      <c r="BW271" s="404">
        <v>0</v>
      </c>
      <c r="BX271" s="404">
        <v>0</v>
      </c>
      <c r="BY271" s="404">
        <v>0</v>
      </c>
      <c r="BZ271" s="404">
        <v>0</v>
      </c>
      <c r="CA271" s="404">
        <v>0</v>
      </c>
      <c r="CB271" s="404">
        <v>0</v>
      </c>
      <c r="CC271" s="404">
        <v>0</v>
      </c>
      <c r="CD271" s="404">
        <v>0</v>
      </c>
      <c r="CE271" s="404">
        <v>0</v>
      </c>
      <c r="CF271" s="404">
        <v>0</v>
      </c>
      <c r="CG271" s="404">
        <v>0</v>
      </c>
      <c r="CH271" s="404">
        <v>0</v>
      </c>
      <c r="CI271" s="404">
        <v>0</v>
      </c>
      <c r="CJ271" s="404">
        <v>0</v>
      </c>
      <c r="CK271" s="404">
        <v>0</v>
      </c>
      <c r="CL271" s="404">
        <v>0</v>
      </c>
      <c r="CM271" s="404">
        <v>0</v>
      </c>
      <c r="CN271" s="404">
        <v>0</v>
      </c>
      <c r="CO271" s="404">
        <v>0</v>
      </c>
      <c r="CP271" s="404">
        <v>0</v>
      </c>
      <c r="CQ271" s="404">
        <v>0</v>
      </c>
      <c r="CR271" s="404">
        <v>0</v>
      </c>
    </row>
    <row r="272" spans="1:96" s="404" customFormat="1" x14ac:dyDescent="0.3">
      <c r="A272" s="404">
        <v>612</v>
      </c>
      <c r="B272" s="405" t="s">
        <v>1793</v>
      </c>
      <c r="C272" s="404">
        <v>612</v>
      </c>
      <c r="D272" s="404" t="s">
        <v>1786</v>
      </c>
      <c r="F272" s="404">
        <v>0</v>
      </c>
      <c r="G272" s="404">
        <v>0</v>
      </c>
      <c r="H272" s="404">
        <v>0</v>
      </c>
      <c r="I272" s="404">
        <v>0</v>
      </c>
      <c r="J272" s="404">
        <v>0</v>
      </c>
      <c r="K272" s="404">
        <v>0</v>
      </c>
      <c r="L272" s="404">
        <v>0</v>
      </c>
      <c r="M272" s="404">
        <v>0</v>
      </c>
      <c r="N272" s="404">
        <v>0</v>
      </c>
      <c r="O272" s="404">
        <v>0</v>
      </c>
      <c r="P272" s="404">
        <v>0</v>
      </c>
      <c r="Q272" s="404">
        <v>0</v>
      </c>
      <c r="R272" s="404">
        <v>0</v>
      </c>
      <c r="S272" s="404">
        <v>0</v>
      </c>
      <c r="T272" s="404">
        <v>0</v>
      </c>
      <c r="U272" s="404">
        <v>0</v>
      </c>
      <c r="V272" s="404">
        <v>0</v>
      </c>
      <c r="W272" s="404">
        <v>0</v>
      </c>
      <c r="X272" s="404">
        <v>0</v>
      </c>
      <c r="Y272" s="404">
        <v>0</v>
      </c>
      <c r="Z272" s="404">
        <v>0</v>
      </c>
      <c r="AA272" s="404">
        <v>0</v>
      </c>
      <c r="AB272" s="404">
        <v>0</v>
      </c>
      <c r="AC272" s="404">
        <v>0</v>
      </c>
      <c r="AD272" s="404">
        <v>0</v>
      </c>
      <c r="AE272" s="404">
        <v>0</v>
      </c>
      <c r="AF272" s="404">
        <v>0</v>
      </c>
      <c r="AG272" s="404">
        <v>0</v>
      </c>
      <c r="AH272" s="404">
        <v>0</v>
      </c>
      <c r="AI272" s="404">
        <v>0</v>
      </c>
      <c r="AJ272" s="404">
        <v>0</v>
      </c>
      <c r="AK272" s="404">
        <v>0</v>
      </c>
      <c r="AL272" s="404">
        <v>0</v>
      </c>
      <c r="AM272" s="404">
        <v>0</v>
      </c>
      <c r="AN272" s="404">
        <v>0</v>
      </c>
      <c r="AO272" s="404">
        <v>0</v>
      </c>
      <c r="AP272" s="404">
        <v>0</v>
      </c>
      <c r="AQ272" s="404">
        <v>0</v>
      </c>
      <c r="AR272" s="404">
        <v>0</v>
      </c>
      <c r="AS272" s="404">
        <v>0</v>
      </c>
      <c r="AT272" s="404">
        <v>0</v>
      </c>
      <c r="AU272" s="404">
        <v>0</v>
      </c>
      <c r="AV272" s="404">
        <v>0</v>
      </c>
      <c r="AW272" s="404">
        <v>0</v>
      </c>
      <c r="AX272" s="404">
        <v>0</v>
      </c>
      <c r="AY272" s="404">
        <v>0</v>
      </c>
      <c r="AZ272" s="404">
        <v>0</v>
      </c>
      <c r="BA272" s="404">
        <v>0</v>
      </c>
      <c r="BB272" s="404">
        <v>0</v>
      </c>
      <c r="BC272" s="404">
        <v>0</v>
      </c>
      <c r="BD272" s="404">
        <v>0</v>
      </c>
      <c r="BE272" s="404">
        <v>0</v>
      </c>
      <c r="BF272" s="404">
        <v>0</v>
      </c>
      <c r="BG272" s="404">
        <v>0</v>
      </c>
      <c r="BH272" s="404">
        <v>0</v>
      </c>
      <c r="BI272" s="404">
        <v>0</v>
      </c>
      <c r="BJ272" s="404">
        <v>0</v>
      </c>
      <c r="BK272" s="404">
        <v>0</v>
      </c>
      <c r="BL272" s="404">
        <v>0</v>
      </c>
      <c r="BM272" s="404">
        <v>0</v>
      </c>
      <c r="BN272" s="404">
        <v>0</v>
      </c>
      <c r="BO272" s="404">
        <v>0</v>
      </c>
      <c r="BP272" s="404">
        <v>0</v>
      </c>
      <c r="BQ272" s="404">
        <v>0</v>
      </c>
      <c r="BR272" s="404">
        <v>0</v>
      </c>
      <c r="BS272" s="404">
        <v>0</v>
      </c>
      <c r="BT272" s="404">
        <v>0</v>
      </c>
      <c r="BU272" s="404">
        <v>0</v>
      </c>
      <c r="BV272" s="404">
        <v>0</v>
      </c>
      <c r="BW272" s="404">
        <v>0</v>
      </c>
      <c r="BX272" s="404">
        <v>0</v>
      </c>
      <c r="BY272" s="404">
        <v>0</v>
      </c>
      <c r="BZ272" s="404">
        <v>0</v>
      </c>
      <c r="CA272" s="404">
        <v>0</v>
      </c>
      <c r="CB272" s="404">
        <v>0</v>
      </c>
      <c r="CC272" s="404">
        <v>0</v>
      </c>
      <c r="CD272" s="404">
        <v>0</v>
      </c>
      <c r="CE272" s="404">
        <v>0</v>
      </c>
      <c r="CF272" s="404">
        <v>0</v>
      </c>
      <c r="CG272" s="404">
        <v>0</v>
      </c>
      <c r="CH272" s="404">
        <v>0</v>
      </c>
      <c r="CI272" s="404">
        <v>0</v>
      </c>
      <c r="CJ272" s="404">
        <v>0</v>
      </c>
      <c r="CK272" s="404">
        <v>0</v>
      </c>
      <c r="CL272" s="404">
        <v>0</v>
      </c>
      <c r="CM272" s="404">
        <v>0</v>
      </c>
      <c r="CN272" s="404">
        <v>0</v>
      </c>
      <c r="CO272" s="404">
        <v>0</v>
      </c>
      <c r="CP272" s="404">
        <v>0</v>
      </c>
      <c r="CQ272" s="404">
        <v>0</v>
      </c>
      <c r="CR272" s="404">
        <v>0</v>
      </c>
    </row>
    <row r="273" spans="1:96" s="404" customFormat="1" x14ac:dyDescent="0.3">
      <c r="A273" s="404">
        <v>613</v>
      </c>
      <c r="B273" s="405" t="s">
        <v>1793</v>
      </c>
      <c r="C273" s="404">
        <v>613</v>
      </c>
      <c r="D273" s="404" t="s">
        <v>696</v>
      </c>
      <c r="F273" s="404">
        <v>0</v>
      </c>
      <c r="G273" s="404">
        <v>0</v>
      </c>
      <c r="H273" s="404">
        <v>0</v>
      </c>
      <c r="I273" s="404">
        <v>0</v>
      </c>
      <c r="J273" s="404">
        <v>0</v>
      </c>
      <c r="K273" s="404">
        <v>0</v>
      </c>
      <c r="L273" s="404">
        <v>0</v>
      </c>
      <c r="M273" s="404">
        <v>0</v>
      </c>
      <c r="N273" s="404">
        <v>0</v>
      </c>
      <c r="O273" s="404">
        <v>0</v>
      </c>
      <c r="P273" s="404">
        <v>0</v>
      </c>
      <c r="Q273" s="404">
        <v>0</v>
      </c>
      <c r="R273" s="404">
        <v>0</v>
      </c>
      <c r="S273" s="404">
        <v>0</v>
      </c>
      <c r="T273" s="404">
        <v>0</v>
      </c>
      <c r="U273" s="404">
        <v>0</v>
      </c>
      <c r="V273" s="404">
        <v>0</v>
      </c>
      <c r="W273" s="404">
        <v>0</v>
      </c>
      <c r="X273" s="404">
        <v>0</v>
      </c>
      <c r="Y273" s="404">
        <v>0</v>
      </c>
      <c r="Z273" s="404">
        <v>0</v>
      </c>
      <c r="AA273" s="404">
        <v>0</v>
      </c>
      <c r="AB273" s="404">
        <v>0</v>
      </c>
      <c r="AC273" s="404">
        <v>0</v>
      </c>
      <c r="AD273" s="404">
        <v>0</v>
      </c>
      <c r="AE273" s="404">
        <v>0</v>
      </c>
      <c r="AF273" s="404">
        <v>0</v>
      </c>
      <c r="AG273" s="404">
        <v>0</v>
      </c>
      <c r="AH273" s="404">
        <v>0</v>
      </c>
      <c r="AI273" s="404">
        <v>0</v>
      </c>
      <c r="AJ273" s="404">
        <v>0</v>
      </c>
      <c r="AK273" s="404">
        <v>0</v>
      </c>
      <c r="AL273" s="404">
        <v>0</v>
      </c>
      <c r="AM273" s="404">
        <v>0</v>
      </c>
      <c r="AN273" s="404">
        <v>0</v>
      </c>
      <c r="AO273" s="404">
        <v>0</v>
      </c>
      <c r="AP273" s="404">
        <v>0</v>
      </c>
      <c r="AQ273" s="404">
        <v>0</v>
      </c>
      <c r="AR273" s="404">
        <v>0</v>
      </c>
      <c r="AS273" s="404">
        <v>0</v>
      </c>
      <c r="AT273" s="404">
        <v>0</v>
      </c>
      <c r="AU273" s="404">
        <v>0</v>
      </c>
      <c r="AV273" s="404">
        <v>0</v>
      </c>
      <c r="AW273" s="404">
        <v>0</v>
      </c>
      <c r="AX273" s="404">
        <v>0</v>
      </c>
      <c r="AY273" s="404">
        <v>0</v>
      </c>
      <c r="AZ273" s="404">
        <v>0</v>
      </c>
      <c r="BA273" s="404">
        <v>0</v>
      </c>
      <c r="BB273" s="404">
        <v>0</v>
      </c>
      <c r="BC273" s="404">
        <v>0</v>
      </c>
      <c r="BD273" s="404">
        <v>0</v>
      </c>
      <c r="BE273" s="404">
        <v>0</v>
      </c>
      <c r="BF273" s="404">
        <v>0</v>
      </c>
      <c r="BG273" s="404">
        <v>0</v>
      </c>
      <c r="BH273" s="404">
        <v>0</v>
      </c>
      <c r="BI273" s="404">
        <v>0</v>
      </c>
      <c r="BJ273" s="404">
        <v>0</v>
      </c>
      <c r="BK273" s="404">
        <v>0</v>
      </c>
      <c r="BL273" s="404">
        <v>0</v>
      </c>
      <c r="BM273" s="404">
        <v>0</v>
      </c>
      <c r="BN273" s="404">
        <v>0</v>
      </c>
      <c r="BO273" s="404">
        <v>0</v>
      </c>
      <c r="BP273" s="404">
        <v>0</v>
      </c>
      <c r="BQ273" s="404">
        <v>0</v>
      </c>
      <c r="BR273" s="404">
        <v>0</v>
      </c>
      <c r="BS273" s="404">
        <v>0</v>
      </c>
      <c r="BT273" s="404">
        <v>0</v>
      </c>
      <c r="BU273" s="404">
        <v>0</v>
      </c>
      <c r="BV273" s="404">
        <v>0</v>
      </c>
      <c r="BW273" s="404">
        <v>0</v>
      </c>
      <c r="BX273" s="404">
        <v>0</v>
      </c>
      <c r="BY273" s="404">
        <v>0</v>
      </c>
      <c r="BZ273" s="404">
        <v>0</v>
      </c>
      <c r="CA273" s="404">
        <v>0</v>
      </c>
      <c r="CB273" s="404">
        <v>0</v>
      </c>
      <c r="CC273" s="404">
        <v>0</v>
      </c>
      <c r="CD273" s="404">
        <v>0</v>
      </c>
      <c r="CE273" s="404">
        <v>0</v>
      </c>
      <c r="CF273" s="404">
        <v>0</v>
      </c>
      <c r="CG273" s="404">
        <v>0</v>
      </c>
      <c r="CH273" s="404">
        <v>0</v>
      </c>
      <c r="CI273" s="404">
        <v>0</v>
      </c>
      <c r="CJ273" s="404">
        <v>0</v>
      </c>
      <c r="CK273" s="404">
        <v>0</v>
      </c>
      <c r="CL273" s="404">
        <v>0</v>
      </c>
      <c r="CM273" s="404">
        <v>0</v>
      </c>
      <c r="CN273" s="404">
        <v>0</v>
      </c>
      <c r="CO273" s="404">
        <v>0</v>
      </c>
      <c r="CP273" s="404">
        <v>0</v>
      </c>
      <c r="CQ273" s="404">
        <v>0</v>
      </c>
      <c r="CR273" s="404">
        <v>0</v>
      </c>
    </row>
    <row r="274" spans="1:96" s="404" customFormat="1" x14ac:dyDescent="0.3">
      <c r="A274" s="404">
        <v>614</v>
      </c>
      <c r="B274" s="405" t="s">
        <v>1793</v>
      </c>
      <c r="C274" s="404">
        <v>614</v>
      </c>
      <c r="D274" s="404" t="s">
        <v>689</v>
      </c>
      <c r="F274" s="404">
        <v>0</v>
      </c>
      <c r="G274" s="404">
        <v>0</v>
      </c>
      <c r="H274" s="404">
        <v>0</v>
      </c>
      <c r="I274" s="404">
        <v>0</v>
      </c>
      <c r="J274" s="404">
        <v>0</v>
      </c>
      <c r="K274" s="404">
        <v>0</v>
      </c>
      <c r="L274" s="404">
        <v>0</v>
      </c>
      <c r="M274" s="404">
        <v>0</v>
      </c>
      <c r="N274" s="404">
        <v>0</v>
      </c>
      <c r="O274" s="404">
        <v>0</v>
      </c>
      <c r="P274" s="404">
        <v>0</v>
      </c>
      <c r="Q274" s="404">
        <v>0</v>
      </c>
      <c r="R274" s="404">
        <v>0</v>
      </c>
      <c r="S274" s="404">
        <v>0</v>
      </c>
      <c r="T274" s="404">
        <v>0</v>
      </c>
      <c r="U274" s="404">
        <v>0</v>
      </c>
      <c r="V274" s="404">
        <v>0</v>
      </c>
      <c r="W274" s="404">
        <v>0</v>
      </c>
      <c r="X274" s="404">
        <v>0</v>
      </c>
      <c r="Y274" s="404">
        <v>0</v>
      </c>
      <c r="Z274" s="404">
        <v>0</v>
      </c>
      <c r="AA274" s="404">
        <v>0</v>
      </c>
      <c r="AB274" s="404">
        <v>0</v>
      </c>
      <c r="AC274" s="404">
        <v>0</v>
      </c>
      <c r="AD274" s="404">
        <v>0</v>
      </c>
      <c r="AE274" s="404">
        <v>0</v>
      </c>
      <c r="AF274" s="404">
        <v>0</v>
      </c>
      <c r="AG274" s="404">
        <v>0</v>
      </c>
      <c r="AH274" s="404">
        <v>0</v>
      </c>
      <c r="AI274" s="404">
        <v>0</v>
      </c>
      <c r="AJ274" s="404">
        <v>0</v>
      </c>
      <c r="AK274" s="404">
        <v>0</v>
      </c>
      <c r="AL274" s="404">
        <v>0</v>
      </c>
      <c r="AM274" s="404">
        <v>0</v>
      </c>
      <c r="AN274" s="404">
        <v>0</v>
      </c>
      <c r="AO274" s="404">
        <v>0</v>
      </c>
      <c r="AP274" s="404">
        <v>0</v>
      </c>
      <c r="AQ274" s="404">
        <v>0</v>
      </c>
      <c r="AR274" s="404">
        <v>0</v>
      </c>
      <c r="AS274" s="404">
        <v>0</v>
      </c>
      <c r="AT274" s="404">
        <v>0</v>
      </c>
      <c r="AU274" s="404">
        <v>0</v>
      </c>
      <c r="AV274" s="404">
        <v>0</v>
      </c>
      <c r="AW274" s="404">
        <v>0</v>
      </c>
      <c r="AX274" s="404">
        <v>0</v>
      </c>
      <c r="AY274" s="404">
        <v>0</v>
      </c>
      <c r="AZ274" s="404">
        <v>0</v>
      </c>
      <c r="BA274" s="404">
        <v>0</v>
      </c>
      <c r="BB274" s="404">
        <v>0</v>
      </c>
      <c r="BC274" s="404">
        <v>0</v>
      </c>
      <c r="BD274" s="404">
        <v>0</v>
      </c>
      <c r="BE274" s="404">
        <v>0</v>
      </c>
      <c r="BF274" s="404">
        <v>0</v>
      </c>
      <c r="BG274" s="404">
        <v>0</v>
      </c>
      <c r="BH274" s="404">
        <v>0</v>
      </c>
      <c r="BI274" s="404">
        <v>0</v>
      </c>
      <c r="BJ274" s="404">
        <v>0</v>
      </c>
      <c r="BK274" s="404">
        <v>0</v>
      </c>
      <c r="BL274" s="404">
        <v>0</v>
      </c>
      <c r="BM274" s="404">
        <v>0</v>
      </c>
      <c r="BN274" s="404">
        <v>0</v>
      </c>
      <c r="BO274" s="404">
        <v>0</v>
      </c>
      <c r="BP274" s="404">
        <v>0</v>
      </c>
      <c r="BQ274" s="404">
        <v>0</v>
      </c>
      <c r="BR274" s="404">
        <v>0</v>
      </c>
      <c r="BS274" s="404">
        <v>0</v>
      </c>
      <c r="BT274" s="404">
        <v>0</v>
      </c>
      <c r="BU274" s="404">
        <v>0</v>
      </c>
      <c r="BV274" s="404">
        <v>0</v>
      </c>
      <c r="BW274" s="404">
        <v>0</v>
      </c>
      <c r="BX274" s="404">
        <v>0</v>
      </c>
      <c r="BY274" s="404">
        <v>0</v>
      </c>
      <c r="BZ274" s="404">
        <v>0</v>
      </c>
      <c r="CA274" s="404">
        <v>0</v>
      </c>
      <c r="CB274" s="404">
        <v>0</v>
      </c>
      <c r="CC274" s="404">
        <v>0</v>
      </c>
      <c r="CD274" s="404">
        <v>0</v>
      </c>
      <c r="CE274" s="404">
        <v>0</v>
      </c>
      <c r="CF274" s="404">
        <v>0</v>
      </c>
      <c r="CG274" s="404">
        <v>0</v>
      </c>
      <c r="CH274" s="404">
        <v>0</v>
      </c>
      <c r="CI274" s="404">
        <v>0</v>
      </c>
      <c r="CJ274" s="404">
        <v>0</v>
      </c>
      <c r="CK274" s="404">
        <v>0</v>
      </c>
      <c r="CL274" s="404">
        <v>0</v>
      </c>
      <c r="CM274" s="404">
        <v>0</v>
      </c>
      <c r="CN274" s="404">
        <v>0</v>
      </c>
      <c r="CO274" s="404">
        <v>0</v>
      </c>
      <c r="CP274" s="404">
        <v>0</v>
      </c>
      <c r="CQ274" s="404">
        <v>0</v>
      </c>
      <c r="CR274" s="404">
        <v>0</v>
      </c>
    </row>
    <row r="275" spans="1:96" s="404" customFormat="1" x14ac:dyDescent="0.3">
      <c r="A275" s="404">
        <v>615</v>
      </c>
      <c r="B275" s="405" t="s">
        <v>1793</v>
      </c>
      <c r="C275" s="404">
        <v>615</v>
      </c>
      <c r="D275" s="404" t="s">
        <v>1787</v>
      </c>
      <c r="F275" s="404">
        <v>0</v>
      </c>
      <c r="G275" s="404">
        <v>0</v>
      </c>
      <c r="H275" s="404">
        <v>0</v>
      </c>
      <c r="I275" s="404">
        <v>0</v>
      </c>
      <c r="J275" s="404">
        <v>0</v>
      </c>
      <c r="K275" s="404">
        <v>0</v>
      </c>
      <c r="L275" s="404">
        <v>0</v>
      </c>
      <c r="M275" s="404">
        <v>0</v>
      </c>
      <c r="N275" s="404">
        <v>0</v>
      </c>
      <c r="O275" s="404">
        <v>0</v>
      </c>
      <c r="P275" s="404">
        <v>0</v>
      </c>
      <c r="Q275" s="404">
        <v>0</v>
      </c>
      <c r="R275" s="404">
        <v>0</v>
      </c>
      <c r="S275" s="404">
        <v>0</v>
      </c>
      <c r="T275" s="404">
        <v>0</v>
      </c>
      <c r="U275" s="404">
        <v>0</v>
      </c>
      <c r="V275" s="404">
        <v>0</v>
      </c>
      <c r="W275" s="404">
        <v>0</v>
      </c>
      <c r="X275" s="404">
        <v>0</v>
      </c>
      <c r="Y275" s="404">
        <v>0</v>
      </c>
      <c r="Z275" s="404">
        <v>0</v>
      </c>
      <c r="AA275" s="404">
        <v>0</v>
      </c>
      <c r="AB275" s="404">
        <v>0</v>
      </c>
      <c r="AC275" s="404">
        <v>0</v>
      </c>
      <c r="AD275" s="404">
        <v>0</v>
      </c>
      <c r="AE275" s="404">
        <v>0</v>
      </c>
      <c r="AF275" s="404">
        <v>0</v>
      </c>
      <c r="AG275" s="404">
        <v>0</v>
      </c>
      <c r="AH275" s="404">
        <v>0</v>
      </c>
      <c r="AI275" s="404">
        <v>0</v>
      </c>
      <c r="AJ275" s="404">
        <v>0</v>
      </c>
      <c r="AK275" s="404">
        <v>0</v>
      </c>
      <c r="AL275" s="404">
        <v>0</v>
      </c>
      <c r="AM275" s="404">
        <v>0</v>
      </c>
      <c r="AN275" s="404">
        <v>0</v>
      </c>
      <c r="AO275" s="404">
        <v>0</v>
      </c>
      <c r="AP275" s="404">
        <v>0</v>
      </c>
      <c r="AQ275" s="404">
        <v>0</v>
      </c>
      <c r="AR275" s="404">
        <v>0</v>
      </c>
      <c r="AS275" s="404">
        <v>0</v>
      </c>
      <c r="AT275" s="404">
        <v>0</v>
      </c>
      <c r="AU275" s="404">
        <v>0</v>
      </c>
      <c r="AV275" s="404">
        <v>0</v>
      </c>
      <c r="AW275" s="404">
        <v>0</v>
      </c>
      <c r="AX275" s="404">
        <v>0</v>
      </c>
      <c r="AY275" s="404">
        <v>0</v>
      </c>
      <c r="AZ275" s="404">
        <v>0</v>
      </c>
      <c r="BA275" s="404">
        <v>0</v>
      </c>
      <c r="BB275" s="404">
        <v>0</v>
      </c>
      <c r="BC275" s="404">
        <v>0</v>
      </c>
      <c r="BD275" s="404">
        <v>0</v>
      </c>
      <c r="BE275" s="404">
        <v>0</v>
      </c>
      <c r="BF275" s="404">
        <v>0</v>
      </c>
      <c r="BG275" s="404">
        <v>0</v>
      </c>
      <c r="BH275" s="404">
        <v>0</v>
      </c>
      <c r="BI275" s="404">
        <v>0</v>
      </c>
      <c r="BJ275" s="404">
        <v>0</v>
      </c>
      <c r="BK275" s="404">
        <v>0</v>
      </c>
      <c r="BL275" s="404">
        <v>0</v>
      </c>
      <c r="BM275" s="404">
        <v>0</v>
      </c>
      <c r="BN275" s="404">
        <v>0</v>
      </c>
      <c r="BO275" s="404">
        <v>0</v>
      </c>
      <c r="BP275" s="404">
        <v>0</v>
      </c>
      <c r="BQ275" s="404">
        <v>0</v>
      </c>
      <c r="BR275" s="404">
        <v>0</v>
      </c>
      <c r="BS275" s="404">
        <v>0</v>
      </c>
      <c r="BT275" s="404">
        <v>0</v>
      </c>
      <c r="BU275" s="404">
        <v>0</v>
      </c>
      <c r="BV275" s="404">
        <v>0</v>
      </c>
      <c r="BW275" s="404">
        <v>0</v>
      </c>
      <c r="BX275" s="404">
        <v>0</v>
      </c>
      <c r="BY275" s="404">
        <v>0</v>
      </c>
      <c r="BZ275" s="404">
        <v>0</v>
      </c>
      <c r="CA275" s="404">
        <v>0</v>
      </c>
      <c r="CB275" s="404">
        <v>0</v>
      </c>
      <c r="CC275" s="404">
        <v>0</v>
      </c>
      <c r="CD275" s="404">
        <v>0</v>
      </c>
      <c r="CE275" s="404">
        <v>0</v>
      </c>
      <c r="CF275" s="404">
        <v>0</v>
      </c>
      <c r="CG275" s="404">
        <v>0</v>
      </c>
      <c r="CH275" s="404">
        <v>0</v>
      </c>
      <c r="CI275" s="404">
        <v>0</v>
      </c>
      <c r="CJ275" s="404">
        <v>0</v>
      </c>
      <c r="CK275" s="404">
        <v>0</v>
      </c>
      <c r="CL275" s="404">
        <v>0</v>
      </c>
      <c r="CM275" s="404">
        <v>0</v>
      </c>
      <c r="CN275" s="404">
        <v>0</v>
      </c>
      <c r="CO275" s="404">
        <v>0</v>
      </c>
      <c r="CP275" s="404">
        <v>0</v>
      </c>
      <c r="CQ275" s="404">
        <v>0</v>
      </c>
      <c r="CR275" s="404">
        <v>0</v>
      </c>
    </row>
    <row r="276" spans="1:96" s="404" customFormat="1" x14ac:dyDescent="0.3">
      <c r="A276" s="404">
        <v>616</v>
      </c>
      <c r="B276" s="405" t="s">
        <v>1793</v>
      </c>
      <c r="C276" s="404">
        <v>616</v>
      </c>
      <c r="D276" s="404" t="s">
        <v>690</v>
      </c>
      <c r="F276" s="404">
        <v>0</v>
      </c>
      <c r="G276" s="404">
        <v>0</v>
      </c>
      <c r="H276" s="404">
        <v>0</v>
      </c>
      <c r="I276" s="404">
        <v>0</v>
      </c>
      <c r="J276" s="404">
        <v>0</v>
      </c>
      <c r="K276" s="404">
        <v>0</v>
      </c>
      <c r="L276" s="404">
        <v>0</v>
      </c>
      <c r="M276" s="404">
        <v>0</v>
      </c>
      <c r="N276" s="404">
        <v>0</v>
      </c>
      <c r="O276" s="404">
        <v>0</v>
      </c>
      <c r="P276" s="404">
        <v>0</v>
      </c>
      <c r="Q276" s="404">
        <v>0</v>
      </c>
      <c r="R276" s="404">
        <v>0</v>
      </c>
      <c r="S276" s="404">
        <v>0</v>
      </c>
      <c r="T276" s="404">
        <v>0</v>
      </c>
      <c r="U276" s="404">
        <v>0</v>
      </c>
      <c r="V276" s="404">
        <v>0</v>
      </c>
      <c r="W276" s="404">
        <v>0</v>
      </c>
      <c r="X276" s="404">
        <v>0</v>
      </c>
      <c r="Y276" s="404">
        <v>0</v>
      </c>
      <c r="Z276" s="404">
        <v>0</v>
      </c>
      <c r="AA276" s="404">
        <v>0</v>
      </c>
      <c r="AB276" s="404">
        <v>0</v>
      </c>
      <c r="AC276" s="404">
        <v>0</v>
      </c>
      <c r="AD276" s="404">
        <v>0</v>
      </c>
      <c r="AE276" s="404">
        <v>0</v>
      </c>
      <c r="AF276" s="404">
        <v>0</v>
      </c>
      <c r="AG276" s="404">
        <v>0</v>
      </c>
      <c r="AH276" s="404">
        <v>0</v>
      </c>
      <c r="AI276" s="404">
        <v>0</v>
      </c>
      <c r="AJ276" s="404">
        <v>0</v>
      </c>
      <c r="AK276" s="404">
        <v>0</v>
      </c>
      <c r="AL276" s="404">
        <v>0</v>
      </c>
      <c r="AM276" s="404">
        <v>0</v>
      </c>
      <c r="AN276" s="404">
        <v>0</v>
      </c>
      <c r="AO276" s="404">
        <v>0</v>
      </c>
      <c r="AP276" s="404">
        <v>0</v>
      </c>
      <c r="AQ276" s="404">
        <v>0</v>
      </c>
      <c r="AR276" s="404">
        <v>0</v>
      </c>
      <c r="AS276" s="404">
        <v>0</v>
      </c>
      <c r="AT276" s="404">
        <v>0</v>
      </c>
      <c r="AU276" s="404">
        <v>0</v>
      </c>
      <c r="AV276" s="404">
        <v>0</v>
      </c>
      <c r="AW276" s="404">
        <v>0</v>
      </c>
      <c r="AX276" s="404">
        <v>0</v>
      </c>
      <c r="AY276" s="404">
        <v>0</v>
      </c>
      <c r="AZ276" s="404">
        <v>0</v>
      </c>
      <c r="BA276" s="404">
        <v>0</v>
      </c>
      <c r="BB276" s="404">
        <v>0</v>
      </c>
      <c r="BC276" s="404">
        <v>0</v>
      </c>
      <c r="BD276" s="404">
        <v>0</v>
      </c>
      <c r="BE276" s="404">
        <v>0</v>
      </c>
      <c r="BF276" s="404">
        <v>0</v>
      </c>
      <c r="BG276" s="404">
        <v>0</v>
      </c>
      <c r="BH276" s="404">
        <v>0</v>
      </c>
      <c r="BI276" s="404">
        <v>0</v>
      </c>
      <c r="BJ276" s="404">
        <v>0</v>
      </c>
      <c r="BK276" s="404">
        <v>0</v>
      </c>
      <c r="BL276" s="404">
        <v>0</v>
      </c>
      <c r="BM276" s="404">
        <v>0</v>
      </c>
      <c r="BN276" s="404">
        <v>0</v>
      </c>
      <c r="BO276" s="404">
        <v>0</v>
      </c>
      <c r="BP276" s="404">
        <v>0</v>
      </c>
      <c r="BQ276" s="404">
        <v>0</v>
      </c>
      <c r="BR276" s="404">
        <v>0</v>
      </c>
      <c r="BS276" s="404">
        <v>0</v>
      </c>
      <c r="BT276" s="404">
        <v>0</v>
      </c>
      <c r="BU276" s="404">
        <v>0</v>
      </c>
      <c r="BV276" s="404">
        <v>0</v>
      </c>
      <c r="BW276" s="404">
        <v>0</v>
      </c>
      <c r="BX276" s="404">
        <v>0</v>
      </c>
      <c r="BY276" s="404">
        <v>0</v>
      </c>
      <c r="BZ276" s="404">
        <v>0</v>
      </c>
      <c r="CA276" s="404">
        <v>0</v>
      </c>
      <c r="CB276" s="404">
        <v>0</v>
      </c>
      <c r="CC276" s="404">
        <v>0</v>
      </c>
      <c r="CD276" s="404">
        <v>0</v>
      </c>
      <c r="CE276" s="404">
        <v>0</v>
      </c>
      <c r="CF276" s="404">
        <v>0</v>
      </c>
      <c r="CG276" s="404">
        <v>0</v>
      </c>
      <c r="CH276" s="404">
        <v>0</v>
      </c>
      <c r="CI276" s="404">
        <v>0</v>
      </c>
      <c r="CJ276" s="404">
        <v>0</v>
      </c>
      <c r="CK276" s="404">
        <v>0</v>
      </c>
      <c r="CL276" s="404">
        <v>0</v>
      </c>
      <c r="CM276" s="404">
        <v>0</v>
      </c>
      <c r="CN276" s="404">
        <v>0</v>
      </c>
      <c r="CO276" s="404">
        <v>0</v>
      </c>
      <c r="CP276" s="404">
        <v>0</v>
      </c>
      <c r="CQ276" s="404">
        <v>0</v>
      </c>
      <c r="CR276" s="404">
        <v>0</v>
      </c>
    </row>
    <row r="277" spans="1:96" s="404" customFormat="1" x14ac:dyDescent="0.3">
      <c r="A277" s="404">
        <v>617</v>
      </c>
      <c r="B277" s="405" t="s">
        <v>1793</v>
      </c>
      <c r="C277" s="404">
        <v>617</v>
      </c>
      <c r="D277" s="404" t="s">
        <v>691</v>
      </c>
      <c r="F277" s="404">
        <v>0</v>
      </c>
      <c r="G277" s="404">
        <v>0</v>
      </c>
      <c r="H277" s="404">
        <v>0</v>
      </c>
      <c r="I277" s="404">
        <v>0</v>
      </c>
      <c r="J277" s="404">
        <v>0</v>
      </c>
      <c r="K277" s="404">
        <v>0</v>
      </c>
      <c r="L277" s="404">
        <v>0</v>
      </c>
      <c r="M277" s="404">
        <v>0</v>
      </c>
      <c r="N277" s="404">
        <v>0</v>
      </c>
      <c r="O277" s="404">
        <v>0</v>
      </c>
      <c r="P277" s="404">
        <v>0</v>
      </c>
      <c r="Q277" s="404">
        <v>0</v>
      </c>
      <c r="R277" s="404">
        <v>0</v>
      </c>
      <c r="S277" s="404">
        <v>0</v>
      </c>
      <c r="T277" s="404">
        <v>0</v>
      </c>
      <c r="U277" s="404">
        <v>0</v>
      </c>
      <c r="V277" s="404">
        <v>0</v>
      </c>
      <c r="W277" s="404">
        <v>0</v>
      </c>
      <c r="X277" s="404">
        <v>0</v>
      </c>
      <c r="Y277" s="404">
        <v>0</v>
      </c>
      <c r="Z277" s="404">
        <v>0</v>
      </c>
      <c r="AA277" s="404">
        <v>0</v>
      </c>
      <c r="AB277" s="404">
        <v>0</v>
      </c>
      <c r="AC277" s="404">
        <v>0</v>
      </c>
      <c r="AD277" s="404">
        <v>0</v>
      </c>
      <c r="AE277" s="404">
        <v>0</v>
      </c>
      <c r="AF277" s="404">
        <v>0</v>
      </c>
      <c r="AG277" s="404">
        <v>0</v>
      </c>
      <c r="AH277" s="404">
        <v>0</v>
      </c>
      <c r="AI277" s="404">
        <v>0</v>
      </c>
      <c r="AJ277" s="404">
        <v>0</v>
      </c>
      <c r="AK277" s="404">
        <v>0</v>
      </c>
      <c r="AL277" s="404">
        <v>0</v>
      </c>
      <c r="AM277" s="404">
        <v>0</v>
      </c>
      <c r="AN277" s="404">
        <v>0</v>
      </c>
      <c r="AO277" s="404">
        <v>0</v>
      </c>
      <c r="AP277" s="404">
        <v>0</v>
      </c>
      <c r="AQ277" s="404">
        <v>0</v>
      </c>
      <c r="AR277" s="404">
        <v>0</v>
      </c>
      <c r="AS277" s="404">
        <v>0</v>
      </c>
      <c r="AT277" s="404">
        <v>0</v>
      </c>
      <c r="AU277" s="404">
        <v>0</v>
      </c>
      <c r="AV277" s="404">
        <v>0</v>
      </c>
      <c r="AW277" s="404">
        <v>0</v>
      </c>
      <c r="AX277" s="404">
        <v>0</v>
      </c>
      <c r="AY277" s="404">
        <v>0</v>
      </c>
      <c r="AZ277" s="404">
        <v>0</v>
      </c>
      <c r="BA277" s="404">
        <v>0</v>
      </c>
      <c r="BB277" s="404">
        <v>0</v>
      </c>
      <c r="BC277" s="404">
        <v>0</v>
      </c>
      <c r="BD277" s="404">
        <v>0</v>
      </c>
      <c r="BE277" s="404">
        <v>0</v>
      </c>
      <c r="BF277" s="404">
        <v>0</v>
      </c>
      <c r="BG277" s="404">
        <v>0</v>
      </c>
      <c r="BH277" s="404">
        <v>0</v>
      </c>
      <c r="BI277" s="404">
        <v>0</v>
      </c>
      <c r="BJ277" s="404">
        <v>0</v>
      </c>
      <c r="BK277" s="404">
        <v>0</v>
      </c>
      <c r="BL277" s="404">
        <v>0</v>
      </c>
      <c r="BM277" s="404">
        <v>0</v>
      </c>
      <c r="BN277" s="404">
        <v>0</v>
      </c>
      <c r="BO277" s="404">
        <v>0</v>
      </c>
      <c r="BP277" s="404">
        <v>0</v>
      </c>
      <c r="BQ277" s="404">
        <v>0</v>
      </c>
      <c r="BR277" s="404">
        <v>0</v>
      </c>
      <c r="BS277" s="404">
        <v>0</v>
      </c>
      <c r="BT277" s="404">
        <v>0</v>
      </c>
      <c r="BU277" s="404">
        <v>0</v>
      </c>
      <c r="BV277" s="404">
        <v>0</v>
      </c>
      <c r="BW277" s="404">
        <v>0</v>
      </c>
      <c r="BX277" s="404">
        <v>0</v>
      </c>
      <c r="BY277" s="404">
        <v>0</v>
      </c>
      <c r="BZ277" s="404">
        <v>0</v>
      </c>
      <c r="CA277" s="404">
        <v>0</v>
      </c>
      <c r="CB277" s="404">
        <v>0</v>
      </c>
      <c r="CC277" s="404">
        <v>0</v>
      </c>
      <c r="CD277" s="404">
        <v>0</v>
      </c>
      <c r="CE277" s="404">
        <v>0</v>
      </c>
      <c r="CF277" s="404">
        <v>0</v>
      </c>
      <c r="CG277" s="404">
        <v>0</v>
      </c>
      <c r="CH277" s="404">
        <v>0</v>
      </c>
      <c r="CI277" s="404">
        <v>0</v>
      </c>
      <c r="CJ277" s="404">
        <v>0</v>
      </c>
      <c r="CK277" s="404">
        <v>0</v>
      </c>
      <c r="CL277" s="404">
        <v>0</v>
      </c>
      <c r="CM277" s="404">
        <v>0</v>
      </c>
      <c r="CN277" s="404">
        <v>0</v>
      </c>
      <c r="CO277" s="404">
        <v>0</v>
      </c>
      <c r="CP277" s="404">
        <v>0</v>
      </c>
      <c r="CQ277" s="404">
        <v>0</v>
      </c>
      <c r="CR277" s="404">
        <v>0</v>
      </c>
    </row>
    <row r="278" spans="1:96" s="404" customFormat="1" x14ac:dyDescent="0.3">
      <c r="A278" s="404">
        <v>618</v>
      </c>
      <c r="B278" s="405" t="s">
        <v>1793</v>
      </c>
      <c r="C278" s="404">
        <v>618</v>
      </c>
      <c r="D278" s="404" t="s">
        <v>1788</v>
      </c>
      <c r="F278" s="404">
        <v>0</v>
      </c>
      <c r="G278" s="404">
        <v>0</v>
      </c>
      <c r="H278" s="404">
        <v>0</v>
      </c>
      <c r="I278" s="404">
        <v>0</v>
      </c>
      <c r="J278" s="404">
        <v>0</v>
      </c>
      <c r="K278" s="404">
        <v>0</v>
      </c>
      <c r="L278" s="404">
        <v>0</v>
      </c>
      <c r="M278" s="404">
        <v>0</v>
      </c>
      <c r="N278" s="404">
        <v>0</v>
      </c>
      <c r="O278" s="404">
        <v>0</v>
      </c>
      <c r="P278" s="404">
        <v>0</v>
      </c>
      <c r="Q278" s="404">
        <v>0</v>
      </c>
      <c r="R278" s="404">
        <v>0</v>
      </c>
      <c r="S278" s="404">
        <v>0</v>
      </c>
      <c r="T278" s="404">
        <v>0</v>
      </c>
      <c r="U278" s="404">
        <v>0</v>
      </c>
      <c r="V278" s="404">
        <v>0</v>
      </c>
      <c r="W278" s="404">
        <v>0</v>
      </c>
      <c r="X278" s="404">
        <v>0</v>
      </c>
      <c r="Y278" s="404">
        <v>0</v>
      </c>
      <c r="Z278" s="404">
        <v>0</v>
      </c>
      <c r="AA278" s="404">
        <v>0</v>
      </c>
      <c r="AB278" s="404">
        <v>0</v>
      </c>
      <c r="AC278" s="404">
        <v>0</v>
      </c>
      <c r="AD278" s="404">
        <v>0</v>
      </c>
      <c r="AE278" s="404">
        <v>0</v>
      </c>
      <c r="AF278" s="404">
        <v>0</v>
      </c>
      <c r="AG278" s="404">
        <v>0</v>
      </c>
      <c r="AH278" s="404">
        <v>0</v>
      </c>
      <c r="AI278" s="404">
        <v>0</v>
      </c>
      <c r="AJ278" s="404">
        <v>0</v>
      </c>
      <c r="AK278" s="404">
        <v>0</v>
      </c>
      <c r="AL278" s="404">
        <v>0</v>
      </c>
      <c r="AM278" s="404">
        <v>0</v>
      </c>
      <c r="AN278" s="404">
        <v>0</v>
      </c>
      <c r="AO278" s="404">
        <v>0</v>
      </c>
      <c r="AP278" s="404">
        <v>0</v>
      </c>
      <c r="AQ278" s="404">
        <v>0</v>
      </c>
      <c r="AR278" s="404">
        <v>0</v>
      </c>
      <c r="AS278" s="404">
        <v>0</v>
      </c>
      <c r="AT278" s="404">
        <v>0</v>
      </c>
      <c r="AU278" s="404">
        <v>0</v>
      </c>
      <c r="AV278" s="404">
        <v>0</v>
      </c>
      <c r="AW278" s="404">
        <v>0</v>
      </c>
      <c r="AX278" s="404">
        <v>0</v>
      </c>
      <c r="AY278" s="404">
        <v>0</v>
      </c>
      <c r="AZ278" s="404">
        <v>0</v>
      </c>
      <c r="BA278" s="404">
        <v>0</v>
      </c>
      <c r="BB278" s="404">
        <v>0</v>
      </c>
      <c r="BC278" s="404">
        <v>0</v>
      </c>
      <c r="BD278" s="404">
        <v>0</v>
      </c>
      <c r="BE278" s="404">
        <v>0</v>
      </c>
      <c r="BF278" s="404">
        <v>0</v>
      </c>
      <c r="BG278" s="404">
        <v>0</v>
      </c>
      <c r="BH278" s="404">
        <v>0</v>
      </c>
      <c r="BI278" s="404">
        <v>0</v>
      </c>
      <c r="BJ278" s="404">
        <v>0</v>
      </c>
      <c r="BK278" s="404">
        <v>0</v>
      </c>
      <c r="BL278" s="404">
        <v>0</v>
      </c>
      <c r="BM278" s="404">
        <v>0</v>
      </c>
      <c r="BN278" s="404">
        <v>0</v>
      </c>
      <c r="BO278" s="404">
        <v>0</v>
      </c>
      <c r="BP278" s="404">
        <v>0</v>
      </c>
      <c r="BQ278" s="404">
        <v>0</v>
      </c>
      <c r="BR278" s="404">
        <v>0</v>
      </c>
      <c r="BS278" s="404">
        <v>0</v>
      </c>
      <c r="BT278" s="404">
        <v>0</v>
      </c>
      <c r="BU278" s="404">
        <v>0</v>
      </c>
      <c r="BV278" s="404">
        <v>0</v>
      </c>
      <c r="BW278" s="404">
        <v>0</v>
      </c>
      <c r="BX278" s="404">
        <v>0</v>
      </c>
      <c r="BY278" s="404">
        <v>0</v>
      </c>
      <c r="BZ278" s="404">
        <v>0</v>
      </c>
      <c r="CA278" s="404">
        <v>0</v>
      </c>
      <c r="CB278" s="404">
        <v>0</v>
      </c>
      <c r="CC278" s="404">
        <v>0</v>
      </c>
      <c r="CD278" s="404">
        <v>0</v>
      </c>
      <c r="CE278" s="404">
        <v>0</v>
      </c>
      <c r="CF278" s="404">
        <v>0</v>
      </c>
      <c r="CG278" s="404">
        <v>0</v>
      </c>
      <c r="CH278" s="404">
        <v>0</v>
      </c>
      <c r="CI278" s="404">
        <v>0</v>
      </c>
      <c r="CJ278" s="404">
        <v>0</v>
      </c>
      <c r="CK278" s="404">
        <v>0</v>
      </c>
      <c r="CL278" s="404">
        <v>0</v>
      </c>
      <c r="CM278" s="404">
        <v>0</v>
      </c>
      <c r="CN278" s="404">
        <v>0</v>
      </c>
      <c r="CO278" s="404">
        <v>0</v>
      </c>
      <c r="CP278" s="404">
        <v>0</v>
      </c>
      <c r="CQ278" s="404">
        <v>0</v>
      </c>
      <c r="CR278" s="404">
        <v>0</v>
      </c>
    </row>
    <row r="279" spans="1:96" s="404" customFormat="1" x14ac:dyDescent="0.3">
      <c r="A279" s="404">
        <v>619</v>
      </c>
      <c r="B279" s="405">
        <v>619</v>
      </c>
      <c r="C279" s="404">
        <v>619</v>
      </c>
      <c r="D279" s="404" t="s">
        <v>706</v>
      </c>
      <c r="F279" s="1168">
        <v>0</v>
      </c>
      <c r="G279" s="1168">
        <v>0</v>
      </c>
      <c r="H279" s="1168">
        <v>0</v>
      </c>
      <c r="I279" s="1168">
        <v>0</v>
      </c>
      <c r="J279" s="1168">
        <v>0</v>
      </c>
      <c r="K279" s="1168">
        <v>0</v>
      </c>
      <c r="L279" s="1168">
        <v>0</v>
      </c>
      <c r="M279" s="1168">
        <v>0</v>
      </c>
      <c r="N279" s="1168">
        <v>0</v>
      </c>
      <c r="O279" s="1168">
        <v>0</v>
      </c>
      <c r="P279" s="1168">
        <v>0</v>
      </c>
      <c r="Q279" s="1168">
        <v>0</v>
      </c>
      <c r="R279" s="1168">
        <v>0</v>
      </c>
      <c r="S279" s="1168">
        <v>0</v>
      </c>
      <c r="T279" s="1168">
        <v>0</v>
      </c>
      <c r="U279" s="1168">
        <v>0</v>
      </c>
      <c r="V279" s="1168">
        <v>0</v>
      </c>
      <c r="W279" s="1168">
        <v>0</v>
      </c>
      <c r="X279" s="1168">
        <v>0</v>
      </c>
      <c r="Y279" s="1168">
        <v>0</v>
      </c>
      <c r="Z279" s="1168">
        <v>0</v>
      </c>
      <c r="AA279" s="1168">
        <v>0</v>
      </c>
      <c r="AB279" s="1168">
        <v>0</v>
      </c>
      <c r="AC279" s="1168">
        <v>0</v>
      </c>
      <c r="AD279" s="1168">
        <v>0</v>
      </c>
      <c r="AE279" s="1168">
        <v>0</v>
      </c>
      <c r="AF279" s="1168">
        <v>0</v>
      </c>
      <c r="AG279" s="1168">
        <v>0</v>
      </c>
      <c r="AH279" s="1168">
        <v>0</v>
      </c>
      <c r="AI279" s="1168">
        <v>0</v>
      </c>
      <c r="AJ279" s="1168">
        <v>0</v>
      </c>
      <c r="AK279" s="1168">
        <v>0</v>
      </c>
      <c r="AL279" s="1168">
        <v>0</v>
      </c>
      <c r="AM279" s="1168">
        <v>0</v>
      </c>
      <c r="AN279" s="1168">
        <v>0</v>
      </c>
      <c r="AO279" s="1168">
        <v>0</v>
      </c>
      <c r="AP279" s="1168">
        <v>0</v>
      </c>
      <c r="AQ279" s="1168">
        <v>0</v>
      </c>
      <c r="AR279" s="1168">
        <v>0</v>
      </c>
      <c r="AS279" s="1168">
        <v>0</v>
      </c>
      <c r="AT279" s="1168">
        <v>0</v>
      </c>
      <c r="AU279" s="1168">
        <v>0</v>
      </c>
      <c r="AV279" s="1168">
        <v>0</v>
      </c>
      <c r="AW279" s="1168">
        <v>0</v>
      </c>
      <c r="AX279" s="1168">
        <v>0</v>
      </c>
      <c r="AY279" s="1168">
        <v>0</v>
      </c>
      <c r="AZ279" s="1168">
        <v>0</v>
      </c>
      <c r="BA279" s="1168">
        <v>0</v>
      </c>
      <c r="BB279" s="1168">
        <v>0</v>
      </c>
      <c r="BC279" s="1168">
        <v>0</v>
      </c>
      <c r="BD279" s="1168">
        <v>0</v>
      </c>
      <c r="BE279" s="1168">
        <v>0</v>
      </c>
      <c r="BF279" s="1168">
        <v>0</v>
      </c>
      <c r="BG279" s="1168">
        <v>0</v>
      </c>
      <c r="BH279" s="1168">
        <v>0</v>
      </c>
      <c r="BI279" s="1168">
        <v>0</v>
      </c>
      <c r="BJ279" s="1168">
        <v>0</v>
      </c>
      <c r="BK279" s="1168">
        <v>0</v>
      </c>
      <c r="BL279" s="1168">
        <v>0</v>
      </c>
      <c r="BM279" s="1168">
        <v>0</v>
      </c>
      <c r="BN279" s="1168">
        <v>0</v>
      </c>
      <c r="BO279" s="1168">
        <v>0</v>
      </c>
      <c r="BP279" s="1168">
        <v>0</v>
      </c>
      <c r="BQ279" s="1168">
        <v>0</v>
      </c>
      <c r="BR279" s="1168">
        <v>0</v>
      </c>
      <c r="BS279" s="1168">
        <v>0</v>
      </c>
      <c r="BT279" s="1168">
        <v>0</v>
      </c>
      <c r="BU279" s="1168">
        <v>0</v>
      </c>
      <c r="BV279" s="1168">
        <v>0</v>
      </c>
      <c r="BW279" s="1168">
        <v>0</v>
      </c>
      <c r="BX279" s="1168">
        <v>59.3</v>
      </c>
      <c r="BY279" s="1168">
        <v>0</v>
      </c>
      <c r="BZ279" s="1168">
        <v>0</v>
      </c>
      <c r="CA279" s="1168">
        <v>0</v>
      </c>
      <c r="CB279" s="1168">
        <v>0</v>
      </c>
      <c r="CC279" s="1168">
        <v>0</v>
      </c>
      <c r="CD279" s="1168">
        <v>0</v>
      </c>
      <c r="CE279" s="1168">
        <v>0</v>
      </c>
      <c r="CF279" s="1168">
        <v>0</v>
      </c>
      <c r="CG279" s="1168">
        <v>0</v>
      </c>
      <c r="CH279" s="1168">
        <v>0</v>
      </c>
      <c r="CI279" s="1168">
        <v>41.6</v>
      </c>
      <c r="CJ279" s="1168">
        <v>0</v>
      </c>
      <c r="CK279" s="1168">
        <v>0</v>
      </c>
      <c r="CL279" s="1168">
        <v>0</v>
      </c>
      <c r="CM279" s="1168">
        <v>0</v>
      </c>
      <c r="CN279" s="1168">
        <v>0</v>
      </c>
      <c r="CO279" s="1168">
        <v>0</v>
      </c>
      <c r="CP279" s="1168">
        <v>0</v>
      </c>
      <c r="CQ279" s="1168">
        <v>0</v>
      </c>
      <c r="CR279" s="1168">
        <v>0</v>
      </c>
    </row>
    <row r="280" spans="1:96" s="404" customFormat="1" x14ac:dyDescent="0.3">
      <c r="A280" s="404">
        <v>620</v>
      </c>
      <c r="B280" s="405">
        <v>620</v>
      </c>
      <c r="C280" s="404">
        <v>620</v>
      </c>
      <c r="D280" s="404" t="s">
        <v>700</v>
      </c>
      <c r="F280" s="404">
        <v>2</v>
      </c>
      <c r="G280" s="404">
        <v>2</v>
      </c>
      <c r="H280" s="404">
        <v>2</v>
      </c>
      <c r="I280" s="404">
        <v>2</v>
      </c>
      <c r="J280" s="404">
        <v>2</v>
      </c>
      <c r="K280" s="404">
        <v>2</v>
      </c>
      <c r="L280" s="404">
        <v>2</v>
      </c>
      <c r="M280" s="404">
        <v>2</v>
      </c>
      <c r="N280" s="404">
        <v>2</v>
      </c>
      <c r="O280" s="404">
        <v>2</v>
      </c>
      <c r="P280" s="404">
        <v>2</v>
      </c>
      <c r="Q280" s="404">
        <v>2</v>
      </c>
      <c r="R280" s="404">
        <v>2</v>
      </c>
      <c r="S280" s="404">
        <v>2</v>
      </c>
      <c r="T280" s="404">
        <v>2</v>
      </c>
      <c r="U280" s="404">
        <v>2</v>
      </c>
      <c r="V280" s="404">
        <v>2</v>
      </c>
      <c r="W280" s="404">
        <v>1</v>
      </c>
      <c r="X280" s="404">
        <v>2</v>
      </c>
      <c r="Y280" s="404">
        <v>2</v>
      </c>
      <c r="Z280" s="404">
        <v>2</v>
      </c>
      <c r="AA280" s="404">
        <v>2</v>
      </c>
      <c r="AB280" s="404">
        <v>2</v>
      </c>
      <c r="AC280" s="404">
        <v>2</v>
      </c>
      <c r="AD280" s="404">
        <v>2</v>
      </c>
      <c r="AE280" s="404">
        <v>2</v>
      </c>
      <c r="AF280" s="404">
        <v>1</v>
      </c>
      <c r="AG280" s="404">
        <v>2</v>
      </c>
      <c r="AH280" s="404">
        <v>2</v>
      </c>
      <c r="AI280" s="404">
        <v>2</v>
      </c>
      <c r="AJ280" s="404">
        <v>2</v>
      </c>
      <c r="AK280" s="404">
        <v>2</v>
      </c>
      <c r="AL280" s="404">
        <v>1</v>
      </c>
      <c r="AM280" s="404">
        <v>2</v>
      </c>
      <c r="AN280" s="404">
        <v>2</v>
      </c>
      <c r="AO280" s="404">
        <v>2</v>
      </c>
      <c r="AP280" s="404">
        <v>2</v>
      </c>
      <c r="AQ280" s="404">
        <v>0</v>
      </c>
      <c r="AR280" s="404">
        <v>0</v>
      </c>
      <c r="AS280" s="404">
        <v>2</v>
      </c>
      <c r="AT280" s="404">
        <v>2</v>
      </c>
      <c r="AU280" s="404">
        <v>2</v>
      </c>
      <c r="AV280" s="404">
        <v>2</v>
      </c>
      <c r="AW280" s="404">
        <v>2</v>
      </c>
      <c r="AX280" s="404">
        <v>2</v>
      </c>
      <c r="AY280" s="404">
        <v>2</v>
      </c>
      <c r="AZ280" s="404">
        <v>1</v>
      </c>
      <c r="BA280" s="404">
        <v>2</v>
      </c>
      <c r="BB280" s="404">
        <v>2</v>
      </c>
      <c r="BC280" s="404">
        <v>2</v>
      </c>
      <c r="BD280" s="404">
        <v>2</v>
      </c>
      <c r="BE280" s="404">
        <v>2</v>
      </c>
      <c r="BF280" s="404">
        <v>2</v>
      </c>
      <c r="BG280" s="404">
        <v>2</v>
      </c>
      <c r="BH280" s="404">
        <v>0</v>
      </c>
      <c r="BI280" s="404">
        <v>2</v>
      </c>
      <c r="BJ280" s="404">
        <v>2</v>
      </c>
      <c r="BK280" s="404">
        <v>2</v>
      </c>
      <c r="BL280" s="404">
        <v>2</v>
      </c>
      <c r="BM280" s="404">
        <v>1</v>
      </c>
      <c r="BN280" s="404">
        <v>1</v>
      </c>
      <c r="BO280" s="404">
        <v>2</v>
      </c>
      <c r="BP280" s="404">
        <v>2</v>
      </c>
      <c r="BQ280" s="404">
        <v>0</v>
      </c>
      <c r="BR280" s="404">
        <v>2</v>
      </c>
      <c r="BS280" s="404">
        <v>2</v>
      </c>
      <c r="BT280" s="404">
        <v>2</v>
      </c>
      <c r="BU280" s="404">
        <v>2</v>
      </c>
      <c r="BV280" s="404">
        <v>2</v>
      </c>
      <c r="BW280" s="404">
        <v>0</v>
      </c>
      <c r="BX280" s="404">
        <v>2</v>
      </c>
      <c r="BY280" s="404">
        <v>2</v>
      </c>
      <c r="BZ280" s="404">
        <v>2</v>
      </c>
      <c r="CA280" s="404">
        <v>0</v>
      </c>
      <c r="CB280" s="404">
        <v>2</v>
      </c>
      <c r="CC280" s="404">
        <v>1</v>
      </c>
      <c r="CD280" s="404">
        <v>1</v>
      </c>
      <c r="CE280" s="404">
        <v>2</v>
      </c>
      <c r="CF280" s="404">
        <v>2</v>
      </c>
      <c r="CG280" s="404">
        <v>2</v>
      </c>
      <c r="CH280" s="404">
        <v>2</v>
      </c>
      <c r="CI280" s="404">
        <v>1</v>
      </c>
      <c r="CJ280" s="404">
        <v>2</v>
      </c>
      <c r="CK280" s="404">
        <v>2</v>
      </c>
      <c r="CL280" s="404">
        <v>1</v>
      </c>
      <c r="CM280" s="404">
        <v>2</v>
      </c>
      <c r="CN280" s="404">
        <v>2</v>
      </c>
      <c r="CO280" s="404">
        <v>2</v>
      </c>
      <c r="CP280" s="404">
        <v>2</v>
      </c>
      <c r="CQ280" s="404">
        <v>2</v>
      </c>
      <c r="CR280" s="404">
        <v>2</v>
      </c>
    </row>
    <row r="281" spans="1:96" s="404" customFormat="1" x14ac:dyDescent="0.3">
      <c r="A281" s="404">
        <v>621</v>
      </c>
      <c r="B281" s="405">
        <v>621</v>
      </c>
      <c r="C281" s="404">
        <v>621</v>
      </c>
      <c r="D281" s="404" t="s">
        <v>1789</v>
      </c>
      <c r="F281" s="404">
        <v>0</v>
      </c>
      <c r="G281" s="404">
        <v>0</v>
      </c>
      <c r="H281" s="404">
        <v>0</v>
      </c>
      <c r="I281" s="404">
        <v>0</v>
      </c>
      <c r="J281" s="404">
        <v>0</v>
      </c>
      <c r="K281" s="404">
        <v>0</v>
      </c>
      <c r="L281" s="404">
        <v>0</v>
      </c>
      <c r="M281" s="404">
        <v>0</v>
      </c>
      <c r="N281" s="404">
        <v>0</v>
      </c>
      <c r="O281" s="404">
        <v>0</v>
      </c>
      <c r="P281" s="404">
        <v>0</v>
      </c>
      <c r="Q281" s="404">
        <v>0</v>
      </c>
      <c r="R281" s="404">
        <v>0</v>
      </c>
      <c r="S281" s="404">
        <v>0</v>
      </c>
      <c r="T281" s="404">
        <v>0</v>
      </c>
      <c r="U281" s="404">
        <v>5160614</v>
      </c>
      <c r="V281" s="404">
        <v>0</v>
      </c>
      <c r="W281" s="404">
        <v>0</v>
      </c>
      <c r="X281" s="404">
        <v>0</v>
      </c>
      <c r="Y281" s="404">
        <v>0</v>
      </c>
      <c r="Z281" s="404">
        <v>0</v>
      </c>
      <c r="AA281" s="404">
        <v>0</v>
      </c>
      <c r="AB281" s="404">
        <v>0</v>
      </c>
      <c r="AC281" s="404">
        <v>0</v>
      </c>
      <c r="AD281" s="404">
        <v>0</v>
      </c>
      <c r="AE281" s="404">
        <v>0</v>
      </c>
      <c r="AF281" s="404">
        <v>0</v>
      </c>
      <c r="AG281" s="404">
        <v>0</v>
      </c>
      <c r="AH281" s="404">
        <v>0</v>
      </c>
      <c r="AI281" s="404">
        <v>0</v>
      </c>
      <c r="AJ281" s="404">
        <v>0</v>
      </c>
      <c r="AK281" s="404">
        <v>0</v>
      </c>
      <c r="AL281" s="404">
        <v>0</v>
      </c>
      <c r="AM281" s="404">
        <v>0</v>
      </c>
      <c r="AN281" s="404">
        <v>0</v>
      </c>
      <c r="AO281" s="404">
        <v>0</v>
      </c>
      <c r="AP281" s="404">
        <v>0</v>
      </c>
      <c r="AQ281" s="404">
        <v>0</v>
      </c>
      <c r="AR281" s="404">
        <v>0</v>
      </c>
      <c r="AS281" s="404">
        <v>0</v>
      </c>
      <c r="AT281" s="404">
        <v>0</v>
      </c>
      <c r="AU281" s="404">
        <v>0</v>
      </c>
      <c r="AV281" s="404">
        <v>0</v>
      </c>
      <c r="AW281" s="404">
        <v>0</v>
      </c>
      <c r="AX281" s="404">
        <v>0</v>
      </c>
      <c r="AY281" s="404">
        <v>0</v>
      </c>
      <c r="AZ281" s="404">
        <v>0</v>
      </c>
      <c r="BA281" s="404">
        <v>0</v>
      </c>
      <c r="BB281" s="404">
        <v>0</v>
      </c>
      <c r="BC281" s="404">
        <v>0</v>
      </c>
      <c r="BD281" s="404">
        <v>0</v>
      </c>
      <c r="BE281" s="404">
        <v>0</v>
      </c>
      <c r="BF281" s="404">
        <v>0</v>
      </c>
      <c r="BG281" s="404">
        <v>0</v>
      </c>
      <c r="BH281" s="404">
        <v>0</v>
      </c>
      <c r="BI281" s="404">
        <v>0</v>
      </c>
      <c r="BJ281" s="404">
        <v>0</v>
      </c>
      <c r="BK281" s="404">
        <v>0</v>
      </c>
      <c r="BL281" s="404">
        <v>0</v>
      </c>
      <c r="BM281" s="404">
        <v>0</v>
      </c>
      <c r="BN281" s="404">
        <v>0</v>
      </c>
      <c r="BO281" s="404">
        <v>0</v>
      </c>
      <c r="BP281" s="404">
        <v>0</v>
      </c>
      <c r="BQ281" s="404">
        <v>0</v>
      </c>
      <c r="BR281" s="404">
        <v>0</v>
      </c>
      <c r="BS281" s="404">
        <v>0</v>
      </c>
      <c r="BT281" s="404">
        <v>0</v>
      </c>
      <c r="BU281" s="404">
        <v>0</v>
      </c>
      <c r="BV281" s="404">
        <v>0</v>
      </c>
      <c r="BW281" s="404">
        <v>0</v>
      </c>
      <c r="BX281" s="404">
        <v>0</v>
      </c>
      <c r="BY281" s="404">
        <v>0</v>
      </c>
      <c r="BZ281" s="404">
        <v>0</v>
      </c>
      <c r="CA281" s="404">
        <v>0</v>
      </c>
      <c r="CB281" s="404">
        <v>0</v>
      </c>
      <c r="CC281" s="404">
        <v>0</v>
      </c>
      <c r="CD281" s="404">
        <v>0</v>
      </c>
      <c r="CE281" s="404">
        <v>0</v>
      </c>
      <c r="CF281" s="404">
        <v>0</v>
      </c>
      <c r="CG281" s="404">
        <v>0</v>
      </c>
      <c r="CH281" s="404">
        <v>0</v>
      </c>
      <c r="CI281" s="404">
        <v>0</v>
      </c>
      <c r="CJ281" s="404">
        <v>0</v>
      </c>
      <c r="CK281" s="404">
        <v>0</v>
      </c>
      <c r="CL281" s="404">
        <v>0</v>
      </c>
      <c r="CM281" s="404">
        <v>0</v>
      </c>
      <c r="CN281" s="404">
        <v>0</v>
      </c>
      <c r="CO281" s="404">
        <v>0</v>
      </c>
      <c r="CP281" s="404">
        <v>0</v>
      </c>
      <c r="CQ281" s="404">
        <v>0</v>
      </c>
      <c r="CR281" s="404">
        <v>0</v>
      </c>
    </row>
    <row r="282" spans="1:96" s="404" customFormat="1" x14ac:dyDescent="0.3">
      <c r="A282" s="404">
        <v>622</v>
      </c>
      <c r="B282" s="405">
        <v>622</v>
      </c>
      <c r="F282" s="404">
        <v>0</v>
      </c>
      <c r="G282" s="404">
        <v>934523</v>
      </c>
      <c r="H282" s="404">
        <v>168225</v>
      </c>
      <c r="I282" s="404">
        <v>523791</v>
      </c>
      <c r="J282" s="404">
        <v>268177</v>
      </c>
      <c r="K282" s="404">
        <v>65542</v>
      </c>
      <c r="L282" s="404">
        <v>7860141</v>
      </c>
      <c r="M282" s="404">
        <v>789247</v>
      </c>
      <c r="N282" s="404">
        <v>0</v>
      </c>
      <c r="O282" s="404">
        <v>0</v>
      </c>
      <c r="P282" s="404">
        <v>182152</v>
      </c>
      <c r="Q282" s="404">
        <v>0</v>
      </c>
      <c r="R282" s="404">
        <v>16659</v>
      </c>
      <c r="S282" s="404">
        <v>281558</v>
      </c>
      <c r="T282" s="404">
        <v>168771</v>
      </c>
      <c r="U282" s="404">
        <v>1184674</v>
      </c>
      <c r="V282" s="404">
        <v>1785477</v>
      </c>
      <c r="W282" s="404">
        <v>593156</v>
      </c>
      <c r="X282" s="404">
        <v>0</v>
      </c>
      <c r="Y282" s="404">
        <v>525156</v>
      </c>
      <c r="Z282" s="404">
        <v>312144</v>
      </c>
      <c r="AA282" s="404">
        <v>0</v>
      </c>
      <c r="AB282" s="404">
        <v>3390167</v>
      </c>
      <c r="AC282" s="404">
        <v>431486</v>
      </c>
      <c r="AD282" s="404">
        <v>64450</v>
      </c>
      <c r="AE282" s="404">
        <v>28402</v>
      </c>
      <c r="AF282" s="404">
        <v>5232720</v>
      </c>
      <c r="AG282" s="404">
        <v>31133</v>
      </c>
      <c r="AH282" s="404">
        <v>407727</v>
      </c>
      <c r="AI282" s="404">
        <v>211373</v>
      </c>
      <c r="AJ282" s="404">
        <v>0</v>
      </c>
      <c r="AK282" s="404">
        <v>145558</v>
      </c>
      <c r="AL282" s="404">
        <v>584963</v>
      </c>
      <c r="AM282" s="404">
        <v>584688</v>
      </c>
      <c r="AN282" s="404">
        <v>522152</v>
      </c>
      <c r="AO282" s="404">
        <v>6827</v>
      </c>
      <c r="AP282" s="404">
        <v>16659</v>
      </c>
      <c r="AQ282" s="404">
        <v>1225365</v>
      </c>
      <c r="AR282" s="404">
        <v>0</v>
      </c>
      <c r="AS282" s="404">
        <v>0</v>
      </c>
      <c r="AT282" s="404">
        <v>0</v>
      </c>
      <c r="AU282" s="404">
        <v>99679</v>
      </c>
      <c r="AV282" s="404">
        <v>0</v>
      </c>
      <c r="AW282" s="404">
        <v>30313</v>
      </c>
      <c r="AX282" s="404">
        <v>899293</v>
      </c>
      <c r="AY282" s="404">
        <v>46153</v>
      </c>
      <c r="AZ282" s="404">
        <v>6618937</v>
      </c>
      <c r="BA282" s="404">
        <v>42329</v>
      </c>
      <c r="BB282" s="404">
        <v>1013172</v>
      </c>
      <c r="BC282" s="404">
        <v>0</v>
      </c>
      <c r="BD282" s="404">
        <v>134908</v>
      </c>
      <c r="BE282" s="404">
        <v>95036</v>
      </c>
      <c r="BF282" s="404">
        <v>12562</v>
      </c>
      <c r="BG282" s="404">
        <v>235952</v>
      </c>
      <c r="BH282" s="404">
        <v>486104</v>
      </c>
      <c r="BI282" s="404">
        <v>4227740</v>
      </c>
      <c r="BJ282" s="404">
        <v>37687</v>
      </c>
      <c r="BK282" s="404">
        <v>0</v>
      </c>
      <c r="BL282" s="404">
        <v>1743421</v>
      </c>
      <c r="BM282" s="404">
        <v>3406006</v>
      </c>
      <c r="BN282" s="404">
        <v>1737139</v>
      </c>
      <c r="BO282" s="404">
        <v>0</v>
      </c>
      <c r="BP282" s="404">
        <v>66908</v>
      </c>
      <c r="BQ282" s="404">
        <v>405542</v>
      </c>
      <c r="BR282" s="404">
        <v>960192</v>
      </c>
      <c r="BS282" s="404">
        <v>0</v>
      </c>
      <c r="BT282" s="404">
        <v>14750</v>
      </c>
      <c r="BU282" s="404">
        <v>374417</v>
      </c>
      <c r="BV282" s="404">
        <v>412369</v>
      </c>
      <c r="BW282" s="404">
        <v>0</v>
      </c>
      <c r="BX282" s="404">
        <v>331261</v>
      </c>
      <c r="BY282" s="404">
        <v>1234377</v>
      </c>
      <c r="BZ282" s="404">
        <v>0</v>
      </c>
      <c r="CA282" s="404">
        <v>0</v>
      </c>
      <c r="CB282" s="404">
        <v>1443838</v>
      </c>
      <c r="CC282" s="404">
        <v>23514877</v>
      </c>
      <c r="CD282" s="404">
        <v>17467128</v>
      </c>
      <c r="CE282" s="404">
        <v>201542</v>
      </c>
      <c r="CF282" s="404">
        <v>603535</v>
      </c>
      <c r="CG282" s="404">
        <v>33863</v>
      </c>
      <c r="CH282" s="404">
        <v>329895</v>
      </c>
      <c r="CI282" s="404">
        <v>48431536</v>
      </c>
      <c r="CJ282" s="404">
        <v>1810328</v>
      </c>
      <c r="CK282" s="404">
        <v>116337</v>
      </c>
      <c r="CL282" s="404">
        <v>732433</v>
      </c>
      <c r="CM282" s="404">
        <v>57076</v>
      </c>
      <c r="CN282" s="404">
        <v>1652754</v>
      </c>
      <c r="CO282" s="404">
        <v>605992</v>
      </c>
      <c r="CP282" s="404">
        <v>154843</v>
      </c>
      <c r="CQ282" s="404">
        <v>422572</v>
      </c>
      <c r="CR282" s="404">
        <v>1531228</v>
      </c>
    </row>
    <row r="283" spans="1:96" s="404" customFormat="1" x14ac:dyDescent="0.3">
      <c r="A283" s="404">
        <v>624</v>
      </c>
      <c r="B283" s="405">
        <v>624</v>
      </c>
      <c r="F283" s="404">
        <v>1</v>
      </c>
      <c r="G283" s="404">
        <v>1</v>
      </c>
      <c r="H283" s="404">
        <v>2</v>
      </c>
      <c r="I283" s="404">
        <v>1</v>
      </c>
      <c r="J283" s="404">
        <v>1</v>
      </c>
      <c r="K283" s="404">
        <v>1</v>
      </c>
      <c r="L283" s="404">
        <v>1</v>
      </c>
      <c r="M283" s="404">
        <v>1</v>
      </c>
      <c r="N283" s="404">
        <v>1</v>
      </c>
      <c r="O283" s="404">
        <v>2</v>
      </c>
      <c r="P283" s="404">
        <v>1</v>
      </c>
      <c r="Q283" s="404">
        <v>2</v>
      </c>
      <c r="R283" s="404">
        <v>1</v>
      </c>
      <c r="S283" s="404">
        <v>2</v>
      </c>
      <c r="T283" s="404">
        <v>1</v>
      </c>
      <c r="U283" s="404">
        <v>2</v>
      </c>
      <c r="V283" s="404">
        <v>1</v>
      </c>
      <c r="W283" s="404">
        <v>1</v>
      </c>
      <c r="X283" s="404">
        <v>2</v>
      </c>
      <c r="Y283" s="404">
        <v>2</v>
      </c>
      <c r="Z283" s="404">
        <v>2</v>
      </c>
      <c r="AA283" s="404">
        <v>2</v>
      </c>
      <c r="AB283" s="404">
        <v>2</v>
      </c>
      <c r="AC283" s="404">
        <v>1</v>
      </c>
      <c r="AD283" s="404">
        <v>1</v>
      </c>
      <c r="AE283" s="404">
        <v>1</v>
      </c>
      <c r="AF283" s="404">
        <v>1</v>
      </c>
      <c r="AG283" s="404">
        <v>1</v>
      </c>
      <c r="AH283" s="404">
        <v>2</v>
      </c>
      <c r="AI283" s="404">
        <v>1</v>
      </c>
      <c r="AJ283" s="404">
        <v>1</v>
      </c>
      <c r="AK283" s="404">
        <v>1</v>
      </c>
      <c r="AL283" s="404">
        <v>1</v>
      </c>
      <c r="AM283" s="404">
        <v>2</v>
      </c>
      <c r="AN283" s="404">
        <v>2</v>
      </c>
      <c r="AO283" s="404">
        <v>2</v>
      </c>
      <c r="AP283" s="404">
        <v>2</v>
      </c>
      <c r="AQ283" s="404">
        <v>2</v>
      </c>
      <c r="AR283" s="404">
        <v>0</v>
      </c>
      <c r="AS283" s="404">
        <v>2</v>
      </c>
      <c r="AT283" s="404">
        <v>1</v>
      </c>
      <c r="AU283" s="404">
        <v>1</v>
      </c>
      <c r="AV283" s="404">
        <v>2</v>
      </c>
      <c r="AW283" s="404">
        <v>1</v>
      </c>
      <c r="AX283" s="404">
        <v>1</v>
      </c>
      <c r="AY283" s="404">
        <v>1</v>
      </c>
      <c r="AZ283" s="404">
        <v>1</v>
      </c>
      <c r="BA283" s="404">
        <v>2</v>
      </c>
      <c r="BB283" s="404">
        <v>2</v>
      </c>
      <c r="BC283" s="404">
        <v>1</v>
      </c>
      <c r="BD283" s="404">
        <v>1</v>
      </c>
      <c r="BE283" s="404">
        <v>2</v>
      </c>
      <c r="BF283" s="404">
        <v>1</v>
      </c>
      <c r="BG283" s="404">
        <v>1</v>
      </c>
      <c r="BH283" s="404">
        <v>2</v>
      </c>
      <c r="BI283" s="404">
        <v>1</v>
      </c>
      <c r="BJ283" s="404">
        <v>2</v>
      </c>
      <c r="BK283" s="404">
        <v>2</v>
      </c>
      <c r="BL283" s="404">
        <v>2</v>
      </c>
      <c r="BM283" s="404">
        <v>2</v>
      </c>
      <c r="BN283" s="404">
        <v>2</v>
      </c>
      <c r="BO283" s="404">
        <v>1</v>
      </c>
      <c r="BP283" s="404">
        <v>2</v>
      </c>
      <c r="BQ283" s="404">
        <v>1</v>
      </c>
      <c r="BR283" s="404">
        <v>1</v>
      </c>
      <c r="BS283" s="404">
        <v>2</v>
      </c>
      <c r="BT283" s="404">
        <v>1</v>
      </c>
      <c r="BU283" s="404">
        <v>2</v>
      </c>
      <c r="BV283" s="404">
        <v>1</v>
      </c>
      <c r="BW283" s="404">
        <v>0</v>
      </c>
      <c r="BX283" s="404">
        <v>2</v>
      </c>
      <c r="BY283" s="404">
        <v>2</v>
      </c>
      <c r="BZ283" s="404">
        <v>2</v>
      </c>
      <c r="CA283" s="404">
        <v>0</v>
      </c>
      <c r="CB283" s="404">
        <v>2</v>
      </c>
      <c r="CC283" s="404">
        <v>1</v>
      </c>
      <c r="CD283" s="404">
        <v>1</v>
      </c>
      <c r="CE283" s="404">
        <v>1</v>
      </c>
      <c r="CF283" s="404">
        <v>1</v>
      </c>
      <c r="CG283" s="404">
        <v>2</v>
      </c>
      <c r="CH283" s="404">
        <v>1</v>
      </c>
      <c r="CI283" s="404">
        <v>1</v>
      </c>
      <c r="CJ283" s="404">
        <v>2</v>
      </c>
      <c r="CK283" s="404">
        <v>1</v>
      </c>
      <c r="CL283" s="404">
        <v>1</v>
      </c>
      <c r="CM283" s="404">
        <v>2</v>
      </c>
      <c r="CN283" s="404">
        <v>1</v>
      </c>
      <c r="CO283" s="404">
        <v>2</v>
      </c>
      <c r="CP283" s="404">
        <v>2</v>
      </c>
      <c r="CQ283" s="404">
        <v>2</v>
      </c>
      <c r="CR283" s="404">
        <v>1</v>
      </c>
    </row>
    <row r="284" spans="1:96" s="404" customFormat="1" x14ac:dyDescent="0.3">
      <c r="A284" s="404">
        <v>625</v>
      </c>
      <c r="B284" s="405" t="s">
        <v>1320</v>
      </c>
      <c r="D284" s="1126"/>
      <c r="F284" s="404">
        <v>0</v>
      </c>
      <c r="G284" s="404">
        <v>0</v>
      </c>
      <c r="H284" s="404">
        <v>0</v>
      </c>
      <c r="I284" s="404">
        <v>0</v>
      </c>
      <c r="J284" s="404">
        <v>0</v>
      </c>
      <c r="K284" s="404">
        <v>0</v>
      </c>
      <c r="L284" s="404">
        <v>0</v>
      </c>
      <c r="M284" s="404">
        <v>0</v>
      </c>
      <c r="N284" s="404">
        <v>0</v>
      </c>
      <c r="O284" s="404">
        <v>0</v>
      </c>
      <c r="P284" s="404">
        <v>0</v>
      </c>
      <c r="Q284" s="404">
        <v>0</v>
      </c>
      <c r="R284" s="404">
        <v>0</v>
      </c>
      <c r="S284" s="404">
        <v>0</v>
      </c>
      <c r="T284" s="404">
        <v>0</v>
      </c>
      <c r="U284" s="404">
        <v>0</v>
      </c>
      <c r="V284" s="404">
        <v>0</v>
      </c>
      <c r="W284" s="404">
        <v>0</v>
      </c>
      <c r="X284" s="404">
        <v>0</v>
      </c>
      <c r="Y284" s="404">
        <v>0</v>
      </c>
      <c r="Z284" s="404">
        <v>0</v>
      </c>
      <c r="AA284" s="404">
        <v>0</v>
      </c>
      <c r="AB284" s="404">
        <v>0</v>
      </c>
      <c r="AC284" s="404">
        <v>0</v>
      </c>
      <c r="AD284" s="404">
        <v>0</v>
      </c>
      <c r="AE284" s="404">
        <v>0</v>
      </c>
      <c r="AF284" s="404">
        <v>0</v>
      </c>
      <c r="AG284" s="404">
        <v>0</v>
      </c>
      <c r="AH284" s="404">
        <v>0</v>
      </c>
      <c r="AI284" s="404">
        <v>0</v>
      </c>
      <c r="AJ284" s="404">
        <v>0</v>
      </c>
      <c r="AK284" s="404">
        <v>0</v>
      </c>
      <c r="AL284" s="404">
        <v>0</v>
      </c>
      <c r="AM284" s="404">
        <v>0</v>
      </c>
      <c r="AN284" s="404">
        <v>0</v>
      </c>
      <c r="AO284" s="404">
        <v>0</v>
      </c>
      <c r="AP284" s="404">
        <v>0</v>
      </c>
      <c r="AQ284" s="404">
        <v>0</v>
      </c>
      <c r="AR284" s="404">
        <v>0</v>
      </c>
      <c r="AS284" s="404">
        <v>0</v>
      </c>
      <c r="AT284" s="404">
        <v>0</v>
      </c>
      <c r="AU284" s="404">
        <v>0</v>
      </c>
      <c r="AV284" s="404">
        <v>0</v>
      </c>
      <c r="AW284" s="404">
        <v>0</v>
      </c>
      <c r="AX284" s="404">
        <v>0</v>
      </c>
      <c r="AY284" s="404">
        <v>0</v>
      </c>
      <c r="AZ284" s="404">
        <v>0</v>
      </c>
      <c r="BA284" s="404">
        <v>0</v>
      </c>
      <c r="BB284" s="404">
        <v>0</v>
      </c>
      <c r="BC284" s="404">
        <v>0</v>
      </c>
      <c r="BD284" s="404">
        <v>0</v>
      </c>
      <c r="BE284" s="404">
        <v>0</v>
      </c>
      <c r="BF284" s="404">
        <v>0</v>
      </c>
      <c r="BG284" s="404">
        <v>0</v>
      </c>
      <c r="BH284" s="404">
        <v>0</v>
      </c>
      <c r="BI284" s="404">
        <v>0</v>
      </c>
      <c r="BJ284" s="404">
        <v>0</v>
      </c>
      <c r="BK284" s="404">
        <v>0</v>
      </c>
      <c r="BL284" s="404">
        <v>0</v>
      </c>
      <c r="BM284" s="404">
        <v>0</v>
      </c>
      <c r="BN284" s="404">
        <v>0</v>
      </c>
      <c r="BO284" s="404">
        <v>0</v>
      </c>
      <c r="BP284" s="404">
        <v>0</v>
      </c>
      <c r="BQ284" s="404">
        <v>0</v>
      </c>
      <c r="BR284" s="404">
        <v>0</v>
      </c>
      <c r="BS284" s="404">
        <v>0</v>
      </c>
      <c r="BT284" s="404">
        <v>0</v>
      </c>
      <c r="BU284" s="404">
        <v>0</v>
      </c>
      <c r="BV284" s="404">
        <v>0</v>
      </c>
      <c r="BW284" s="404">
        <v>0</v>
      </c>
      <c r="BX284" s="404">
        <v>0</v>
      </c>
      <c r="BY284" s="404">
        <v>0</v>
      </c>
      <c r="BZ284" s="404">
        <v>0</v>
      </c>
      <c r="CA284" s="404">
        <v>0</v>
      </c>
      <c r="CB284" s="404">
        <v>0</v>
      </c>
      <c r="CC284" s="404">
        <v>0</v>
      </c>
      <c r="CD284" s="404">
        <v>0</v>
      </c>
      <c r="CE284" s="404">
        <v>0</v>
      </c>
      <c r="CF284" s="404">
        <v>0</v>
      </c>
      <c r="CG284" s="404">
        <v>0</v>
      </c>
      <c r="CH284" s="404">
        <v>0</v>
      </c>
      <c r="CI284" s="404">
        <v>0</v>
      </c>
      <c r="CJ284" s="404">
        <v>0</v>
      </c>
      <c r="CK284" s="404">
        <v>0</v>
      </c>
      <c r="CL284" s="404">
        <v>0</v>
      </c>
      <c r="CM284" s="404">
        <v>0</v>
      </c>
      <c r="CN284" s="404">
        <v>0</v>
      </c>
      <c r="CO284" s="404">
        <v>0</v>
      </c>
      <c r="CP284" s="404">
        <v>0</v>
      </c>
      <c r="CQ284" s="404">
        <v>0</v>
      </c>
      <c r="CR284" s="404">
        <v>0</v>
      </c>
    </row>
    <row r="285" spans="1:96" s="404" customFormat="1" x14ac:dyDescent="0.3">
      <c r="A285" s="404">
        <v>626</v>
      </c>
      <c r="B285" s="405">
        <v>626</v>
      </c>
      <c r="C285" s="404">
        <v>626</v>
      </c>
      <c r="D285" s="404" t="s">
        <v>734</v>
      </c>
      <c r="F285" s="404">
        <v>3381</v>
      </c>
      <c r="G285" s="404">
        <v>911440</v>
      </c>
      <c r="H285" s="404">
        <v>21472</v>
      </c>
      <c r="I285" s="404">
        <v>383517</v>
      </c>
      <c r="J285" s="404">
        <v>22119</v>
      </c>
      <c r="K285" s="404">
        <v>30197</v>
      </c>
      <c r="L285" s="404">
        <v>4143326</v>
      </c>
      <c r="M285" s="404">
        <v>571197</v>
      </c>
      <c r="N285" s="404">
        <v>12481</v>
      </c>
      <c r="O285" s="404">
        <v>13419</v>
      </c>
      <c r="P285" s="404">
        <v>104111</v>
      </c>
      <c r="Q285" s="404">
        <v>652</v>
      </c>
      <c r="R285" s="404">
        <v>3058</v>
      </c>
      <c r="S285" s="404">
        <v>283117</v>
      </c>
      <c r="T285" s="404">
        <v>141866</v>
      </c>
      <c r="U285" s="404">
        <v>594098</v>
      </c>
      <c r="V285" s="404">
        <v>787825</v>
      </c>
      <c r="W285" s="404">
        <v>829019</v>
      </c>
      <c r="X285" s="404">
        <v>19431</v>
      </c>
      <c r="Y285" s="404">
        <v>291155</v>
      </c>
      <c r="Z285" s="404">
        <v>65750</v>
      </c>
      <c r="AA285" s="404">
        <v>1772</v>
      </c>
      <c r="AB285" s="404">
        <v>521443</v>
      </c>
      <c r="AC285" s="404">
        <v>59403</v>
      </c>
      <c r="AD285" s="404">
        <v>27004</v>
      </c>
      <c r="AE285" s="404">
        <v>13117</v>
      </c>
      <c r="AF285" s="404">
        <v>2840066</v>
      </c>
      <c r="AG285" s="404">
        <v>37829</v>
      </c>
      <c r="AH285" s="404">
        <v>297722</v>
      </c>
      <c r="AI285" s="404">
        <v>62099</v>
      </c>
      <c r="AJ285" s="404">
        <v>5403</v>
      </c>
      <c r="AK285" s="404">
        <v>79429</v>
      </c>
      <c r="AL285" s="404">
        <v>700636</v>
      </c>
      <c r="AM285" s="404">
        <v>305139</v>
      </c>
      <c r="AN285" s="404">
        <v>211036</v>
      </c>
      <c r="AO285" s="404">
        <v>2907</v>
      </c>
      <c r="AP285" s="404">
        <v>77353</v>
      </c>
      <c r="AQ285" s="404">
        <v>204396</v>
      </c>
      <c r="AR285" s="404">
        <v>0</v>
      </c>
      <c r="AS285" s="404">
        <v>6064</v>
      </c>
      <c r="AT285" s="404">
        <v>0</v>
      </c>
      <c r="AU285" s="404">
        <v>50842</v>
      </c>
      <c r="AV285" s="404">
        <v>3136</v>
      </c>
      <c r="AW285" s="404">
        <v>15224</v>
      </c>
      <c r="AX285" s="404">
        <v>272911</v>
      </c>
      <c r="AY285" s="404">
        <v>9079</v>
      </c>
      <c r="AZ285" s="404">
        <v>14389223</v>
      </c>
      <c r="BA285" s="404">
        <v>88754</v>
      </c>
      <c r="BB285" s="404">
        <v>1500112</v>
      </c>
      <c r="BC285" s="404">
        <v>0</v>
      </c>
      <c r="BD285" s="404">
        <v>52334</v>
      </c>
      <c r="BE285" s="404">
        <v>92320</v>
      </c>
      <c r="BF285" s="404">
        <v>11240</v>
      </c>
      <c r="BG285" s="404">
        <v>17515</v>
      </c>
      <c r="BH285" s="404">
        <v>141130</v>
      </c>
      <c r="BI285" s="404">
        <v>1897428</v>
      </c>
      <c r="BJ285" s="404">
        <v>5218</v>
      </c>
      <c r="BK285" s="404">
        <v>0</v>
      </c>
      <c r="BL285" s="404">
        <v>1154745</v>
      </c>
      <c r="BM285" s="404">
        <v>1486461</v>
      </c>
      <c r="BN285" s="404">
        <v>1212424</v>
      </c>
      <c r="BO285" s="404">
        <v>2596</v>
      </c>
      <c r="BP285" s="404">
        <v>151119</v>
      </c>
      <c r="BQ285" s="404">
        <v>75412</v>
      </c>
      <c r="BR285" s="404">
        <v>3589829</v>
      </c>
      <c r="BS285" s="404">
        <v>146751</v>
      </c>
      <c r="BT285" s="404">
        <v>47379</v>
      </c>
      <c r="BU285" s="404">
        <v>250602</v>
      </c>
      <c r="BV285" s="404">
        <v>451351</v>
      </c>
      <c r="BW285" s="404">
        <v>0</v>
      </c>
      <c r="BX285" s="404">
        <v>126907</v>
      </c>
      <c r="BY285" s="404">
        <v>856011</v>
      </c>
      <c r="BZ285" s="404">
        <v>7458</v>
      </c>
      <c r="CA285" s="404">
        <v>0</v>
      </c>
      <c r="CB285" s="404">
        <v>5283958</v>
      </c>
      <c r="CC285" s="404">
        <v>35351516</v>
      </c>
      <c r="CD285" s="404">
        <v>10116103</v>
      </c>
      <c r="CE285" s="404">
        <v>57872</v>
      </c>
      <c r="CF285" s="404">
        <v>423878</v>
      </c>
      <c r="CG285" s="404">
        <v>43967</v>
      </c>
      <c r="CH285" s="404">
        <v>146211</v>
      </c>
      <c r="CI285" s="404">
        <v>57554236</v>
      </c>
      <c r="CJ285" s="404">
        <v>4497489</v>
      </c>
      <c r="CK285" s="404">
        <v>120315</v>
      </c>
      <c r="CL285" s="404">
        <v>313135</v>
      </c>
      <c r="CM285" s="404">
        <v>43544</v>
      </c>
      <c r="CN285" s="404">
        <v>1491923</v>
      </c>
      <c r="CO285" s="404">
        <v>169677</v>
      </c>
      <c r="CP285" s="404">
        <v>119261</v>
      </c>
      <c r="CQ285" s="404">
        <v>569898</v>
      </c>
      <c r="CR285" s="404">
        <v>1669836</v>
      </c>
    </row>
    <row r="286" spans="1:96" s="404" customFormat="1" x14ac:dyDescent="0.3">
      <c r="A286" s="404">
        <v>627</v>
      </c>
      <c r="B286" s="405">
        <v>627</v>
      </c>
      <c r="C286" s="404">
        <v>627</v>
      </c>
      <c r="D286" s="404" t="s">
        <v>726</v>
      </c>
      <c r="F286" s="404">
        <v>0</v>
      </c>
      <c r="G286" s="404">
        <v>0</v>
      </c>
      <c r="H286" s="404">
        <v>0</v>
      </c>
      <c r="I286" s="404">
        <v>0</v>
      </c>
      <c r="J286" s="404">
        <v>0</v>
      </c>
      <c r="K286" s="404">
        <v>0</v>
      </c>
      <c r="L286" s="404">
        <v>0</v>
      </c>
      <c r="M286" s="404">
        <v>0</v>
      </c>
      <c r="N286" s="404">
        <v>0</v>
      </c>
      <c r="O286" s="404">
        <v>0</v>
      </c>
      <c r="P286" s="404">
        <v>0</v>
      </c>
      <c r="Q286" s="404">
        <v>0</v>
      </c>
      <c r="R286" s="404">
        <v>0</v>
      </c>
      <c r="S286" s="404">
        <v>0</v>
      </c>
      <c r="T286" s="404">
        <v>0</v>
      </c>
      <c r="U286" s="404">
        <v>0</v>
      </c>
      <c r="V286" s="404">
        <v>615438</v>
      </c>
      <c r="W286" s="404">
        <v>0</v>
      </c>
      <c r="X286" s="404">
        <v>0</v>
      </c>
      <c r="Y286" s="404">
        <v>0</v>
      </c>
      <c r="Z286" s="404">
        <v>0</v>
      </c>
      <c r="AA286" s="404">
        <v>0</v>
      </c>
      <c r="AB286" s="404">
        <v>0</v>
      </c>
      <c r="AC286" s="404">
        <v>0</v>
      </c>
      <c r="AD286" s="404">
        <v>0</v>
      </c>
      <c r="AE286" s="404">
        <v>0</v>
      </c>
      <c r="AF286" s="404">
        <v>0</v>
      </c>
      <c r="AG286" s="404">
        <v>0</v>
      </c>
      <c r="AH286" s="404">
        <v>0</v>
      </c>
      <c r="AI286" s="404">
        <v>0</v>
      </c>
      <c r="AJ286" s="404">
        <v>0</v>
      </c>
      <c r="AK286" s="404">
        <v>0</v>
      </c>
      <c r="AL286" s="404">
        <v>0</v>
      </c>
      <c r="AM286" s="404">
        <v>0</v>
      </c>
      <c r="AN286" s="404">
        <v>0</v>
      </c>
      <c r="AO286" s="404">
        <v>0</v>
      </c>
      <c r="AP286" s="404">
        <v>0</v>
      </c>
      <c r="AQ286" s="404">
        <v>0</v>
      </c>
      <c r="AR286" s="404">
        <v>0</v>
      </c>
      <c r="AS286" s="404">
        <v>0</v>
      </c>
      <c r="AT286" s="404">
        <v>0</v>
      </c>
      <c r="AU286" s="404">
        <v>0</v>
      </c>
      <c r="AV286" s="404">
        <v>0</v>
      </c>
      <c r="AW286" s="404">
        <v>0</v>
      </c>
      <c r="AX286" s="404">
        <v>0</v>
      </c>
      <c r="AY286" s="404">
        <v>0</v>
      </c>
      <c r="AZ286" s="404">
        <v>0</v>
      </c>
      <c r="BA286" s="404">
        <v>0</v>
      </c>
      <c r="BB286" s="404">
        <v>0</v>
      </c>
      <c r="BC286" s="404">
        <v>0</v>
      </c>
      <c r="BD286" s="404">
        <v>0</v>
      </c>
      <c r="BE286" s="404">
        <v>0</v>
      </c>
      <c r="BF286" s="404">
        <v>0</v>
      </c>
      <c r="BG286" s="404">
        <v>0</v>
      </c>
      <c r="BH286" s="404">
        <v>0</v>
      </c>
      <c r="BI286" s="404">
        <v>0</v>
      </c>
      <c r="BJ286" s="404">
        <v>0</v>
      </c>
      <c r="BK286" s="404">
        <v>0</v>
      </c>
      <c r="BL286" s="404">
        <v>0</v>
      </c>
      <c r="BM286" s="404">
        <v>0</v>
      </c>
      <c r="BN286" s="404">
        <v>0</v>
      </c>
      <c r="BO286" s="404">
        <v>0</v>
      </c>
      <c r="BP286" s="404">
        <v>0</v>
      </c>
      <c r="BQ286" s="404">
        <v>0</v>
      </c>
      <c r="BR286" s="404">
        <v>331035</v>
      </c>
      <c r="BS286" s="404">
        <v>0</v>
      </c>
      <c r="BT286" s="404">
        <v>0</v>
      </c>
      <c r="BU286" s="404">
        <v>0</v>
      </c>
      <c r="BV286" s="404">
        <v>0</v>
      </c>
      <c r="BW286" s="404">
        <v>0</v>
      </c>
      <c r="BX286" s="404">
        <v>0</v>
      </c>
      <c r="BY286" s="404">
        <v>0</v>
      </c>
      <c r="BZ286" s="404">
        <v>0</v>
      </c>
      <c r="CA286" s="404">
        <v>0</v>
      </c>
      <c r="CB286" s="404">
        <v>0</v>
      </c>
      <c r="CC286" s="404">
        <v>0</v>
      </c>
      <c r="CD286" s="404">
        <v>0</v>
      </c>
      <c r="CE286" s="404">
        <v>0</v>
      </c>
      <c r="CF286" s="404">
        <v>0</v>
      </c>
      <c r="CG286" s="404">
        <v>0</v>
      </c>
      <c r="CH286" s="404">
        <v>0</v>
      </c>
      <c r="CI286" s="404">
        <v>0</v>
      </c>
      <c r="CJ286" s="404">
        <v>0</v>
      </c>
      <c r="CK286" s="404">
        <v>0</v>
      </c>
      <c r="CL286" s="404">
        <v>133686</v>
      </c>
      <c r="CM286" s="404">
        <v>0</v>
      </c>
      <c r="CN286" s="404">
        <v>0</v>
      </c>
      <c r="CO286" s="404">
        <v>0</v>
      </c>
      <c r="CP286" s="404">
        <v>0</v>
      </c>
      <c r="CQ286" s="404">
        <v>0</v>
      </c>
      <c r="CR286" s="404">
        <v>0</v>
      </c>
    </row>
    <row r="287" spans="1:96" s="404" customFormat="1" x14ac:dyDescent="0.3">
      <c r="A287" s="404">
        <v>628</v>
      </c>
      <c r="B287" s="405">
        <v>628</v>
      </c>
      <c r="C287" s="404">
        <v>628</v>
      </c>
      <c r="D287" s="404" t="s">
        <v>731</v>
      </c>
      <c r="F287" s="404">
        <v>0</v>
      </c>
      <c r="G287" s="404">
        <v>170391</v>
      </c>
      <c r="H287" s="404">
        <v>0</v>
      </c>
      <c r="I287" s="404">
        <v>26009</v>
      </c>
      <c r="J287" s="404">
        <v>12242</v>
      </c>
      <c r="K287" s="404">
        <v>8964</v>
      </c>
      <c r="L287" s="404">
        <v>952091</v>
      </c>
      <c r="M287" s="404">
        <v>0</v>
      </c>
      <c r="N287" s="404">
        <v>0</v>
      </c>
      <c r="O287" s="404">
        <v>0</v>
      </c>
      <c r="P287" s="404">
        <v>0</v>
      </c>
      <c r="Q287" s="404">
        <v>0</v>
      </c>
      <c r="R287" s="404">
        <v>0</v>
      </c>
      <c r="S287" s="404">
        <v>0</v>
      </c>
      <c r="T287" s="404">
        <v>0</v>
      </c>
      <c r="U287" s="404">
        <v>0</v>
      </c>
      <c r="V287" s="404">
        <v>0</v>
      </c>
      <c r="W287" s="404">
        <v>111358</v>
      </c>
      <c r="X287" s="404">
        <v>0</v>
      </c>
      <c r="Y287" s="404">
        <v>0</v>
      </c>
      <c r="Z287" s="404">
        <v>0</v>
      </c>
      <c r="AA287" s="404">
        <v>0</v>
      </c>
      <c r="AB287" s="404">
        <v>78356</v>
      </c>
      <c r="AC287" s="404">
        <v>19685</v>
      </c>
      <c r="AD287" s="404">
        <v>4304</v>
      </c>
      <c r="AE287" s="404">
        <v>0</v>
      </c>
      <c r="AF287" s="404">
        <v>413353</v>
      </c>
      <c r="AG287" s="404">
        <v>13846</v>
      </c>
      <c r="AH287" s="404">
        <v>0</v>
      </c>
      <c r="AI287" s="404">
        <v>39590</v>
      </c>
      <c r="AJ287" s="404">
        <v>0</v>
      </c>
      <c r="AK287" s="404">
        <v>28511</v>
      </c>
      <c r="AL287" s="404">
        <v>85248</v>
      </c>
      <c r="AM287" s="404">
        <v>44235</v>
      </c>
      <c r="AN287" s="404">
        <v>42714</v>
      </c>
      <c r="AO287" s="404">
        <v>0</v>
      </c>
      <c r="AP287" s="404">
        <v>0</v>
      </c>
      <c r="AQ287" s="404">
        <v>0</v>
      </c>
      <c r="AR287" s="404">
        <v>0</v>
      </c>
      <c r="AS287" s="404">
        <v>0</v>
      </c>
      <c r="AT287" s="404">
        <v>0</v>
      </c>
      <c r="AU287" s="404">
        <v>0</v>
      </c>
      <c r="AV287" s="404">
        <v>0</v>
      </c>
      <c r="AW287" s="404">
        <v>2595</v>
      </c>
      <c r="AX287" s="404">
        <v>0</v>
      </c>
      <c r="AY287" s="404">
        <v>0</v>
      </c>
      <c r="AZ287" s="404">
        <v>584868</v>
      </c>
      <c r="BA287" s="404">
        <v>0</v>
      </c>
      <c r="BB287" s="404">
        <v>90981</v>
      </c>
      <c r="BC287" s="404">
        <v>0</v>
      </c>
      <c r="BD287" s="404">
        <v>12221</v>
      </c>
      <c r="BE287" s="404">
        <v>6003</v>
      </c>
      <c r="BF287" s="404">
        <v>0</v>
      </c>
      <c r="BG287" s="404">
        <v>0</v>
      </c>
      <c r="BH287" s="404">
        <v>35827</v>
      </c>
      <c r="BI287" s="404">
        <v>648538</v>
      </c>
      <c r="BJ287" s="404">
        <v>0</v>
      </c>
      <c r="BK287" s="404">
        <v>0</v>
      </c>
      <c r="BL287" s="404">
        <v>84081</v>
      </c>
      <c r="BM287" s="404">
        <v>228627</v>
      </c>
      <c r="BN287" s="404">
        <v>113000</v>
      </c>
      <c r="BO287" s="404">
        <v>0</v>
      </c>
      <c r="BP287" s="404">
        <v>7526</v>
      </c>
      <c r="BQ287" s="404">
        <v>5215</v>
      </c>
      <c r="BR287" s="404">
        <v>233231</v>
      </c>
      <c r="BS287" s="404">
        <v>4337</v>
      </c>
      <c r="BT287" s="404">
        <v>0</v>
      </c>
      <c r="BU287" s="404">
        <v>49644</v>
      </c>
      <c r="BV287" s="404">
        <v>45000</v>
      </c>
      <c r="BW287" s="404">
        <v>0</v>
      </c>
      <c r="BX287" s="404">
        <v>24215</v>
      </c>
      <c r="BY287" s="404">
        <v>0</v>
      </c>
      <c r="BZ287" s="404">
        <v>0</v>
      </c>
      <c r="CA287" s="404">
        <v>0</v>
      </c>
      <c r="CB287" s="404">
        <v>115016</v>
      </c>
      <c r="CC287" s="404">
        <v>4996701</v>
      </c>
      <c r="CD287" s="404">
        <v>1835319</v>
      </c>
      <c r="CE287" s="404">
        <v>21930</v>
      </c>
      <c r="CF287" s="404">
        <v>52644</v>
      </c>
      <c r="CG287" s="404">
        <v>0</v>
      </c>
      <c r="CH287" s="404">
        <v>0</v>
      </c>
      <c r="CI287" s="404">
        <v>5790506</v>
      </c>
      <c r="CJ287" s="404">
        <v>113624</v>
      </c>
      <c r="CK287" s="404">
        <v>11974</v>
      </c>
      <c r="CL287" s="404">
        <v>66000</v>
      </c>
      <c r="CM287" s="404">
        <v>0</v>
      </c>
      <c r="CN287" s="404">
        <v>278293</v>
      </c>
      <c r="CO287" s="404">
        <v>57699</v>
      </c>
      <c r="CP287" s="404">
        <v>0</v>
      </c>
      <c r="CQ287" s="404">
        <v>0</v>
      </c>
      <c r="CR287" s="404">
        <v>164545</v>
      </c>
    </row>
    <row r="288" spans="1:96" s="404" customFormat="1" x14ac:dyDescent="0.3">
      <c r="A288" s="404">
        <v>629</v>
      </c>
      <c r="B288" s="405">
        <v>629</v>
      </c>
      <c r="C288" s="404">
        <v>629</v>
      </c>
      <c r="D288" s="404" t="s">
        <v>730</v>
      </c>
      <c r="F288" s="404">
        <v>0</v>
      </c>
      <c r="G288" s="404">
        <v>0</v>
      </c>
      <c r="H288" s="404">
        <v>0</v>
      </c>
      <c r="I288" s="404">
        <v>0</v>
      </c>
      <c r="J288" s="404">
        <v>0</v>
      </c>
      <c r="K288" s="404">
        <v>0</v>
      </c>
      <c r="L288" s="404">
        <v>0</v>
      </c>
      <c r="M288" s="404">
        <v>0</v>
      </c>
      <c r="N288" s="404">
        <v>0</v>
      </c>
      <c r="O288" s="404">
        <v>0</v>
      </c>
      <c r="P288" s="404">
        <v>0</v>
      </c>
      <c r="Q288" s="404">
        <v>0</v>
      </c>
      <c r="R288" s="404">
        <v>0</v>
      </c>
      <c r="S288" s="404">
        <v>0</v>
      </c>
      <c r="T288" s="404">
        <v>0</v>
      </c>
      <c r="U288" s="404">
        <v>0</v>
      </c>
      <c r="V288" s="404">
        <v>0</v>
      </c>
      <c r="W288" s="404">
        <v>0</v>
      </c>
      <c r="X288" s="404">
        <v>0</v>
      </c>
      <c r="Y288" s="404">
        <v>0</v>
      </c>
      <c r="Z288" s="404">
        <v>0</v>
      </c>
      <c r="AA288" s="404">
        <v>0</v>
      </c>
      <c r="AB288" s="404">
        <v>0</v>
      </c>
      <c r="AC288" s="404">
        <v>0</v>
      </c>
      <c r="AD288" s="404">
        <v>0</v>
      </c>
      <c r="AE288" s="404">
        <v>0</v>
      </c>
      <c r="AF288" s="404">
        <v>0</v>
      </c>
      <c r="AG288" s="404">
        <v>0</v>
      </c>
      <c r="AH288" s="404">
        <v>0</v>
      </c>
      <c r="AI288" s="404">
        <v>0</v>
      </c>
      <c r="AJ288" s="404">
        <v>0</v>
      </c>
      <c r="AK288" s="404">
        <v>0</v>
      </c>
      <c r="AL288" s="404">
        <v>0</v>
      </c>
      <c r="AM288" s="404">
        <v>0</v>
      </c>
      <c r="AN288" s="404">
        <v>0</v>
      </c>
      <c r="AO288" s="404">
        <v>0</v>
      </c>
      <c r="AP288" s="404">
        <v>0</v>
      </c>
      <c r="AQ288" s="404">
        <v>0</v>
      </c>
      <c r="AR288" s="404">
        <v>0</v>
      </c>
      <c r="AS288" s="404">
        <v>0</v>
      </c>
      <c r="AT288" s="404">
        <v>0</v>
      </c>
      <c r="AU288" s="404">
        <v>0</v>
      </c>
      <c r="AV288" s="404">
        <v>0</v>
      </c>
      <c r="AW288" s="404">
        <v>0</v>
      </c>
      <c r="AX288" s="404">
        <v>0</v>
      </c>
      <c r="AY288" s="404">
        <v>0</v>
      </c>
      <c r="AZ288" s="404">
        <v>0</v>
      </c>
      <c r="BA288" s="404">
        <v>0</v>
      </c>
      <c r="BB288" s="404">
        <v>0</v>
      </c>
      <c r="BC288" s="404">
        <v>0</v>
      </c>
      <c r="BD288" s="404">
        <v>0</v>
      </c>
      <c r="BE288" s="404">
        <v>0</v>
      </c>
      <c r="BF288" s="404">
        <v>0</v>
      </c>
      <c r="BG288" s="404">
        <v>0</v>
      </c>
      <c r="BH288" s="404">
        <v>0</v>
      </c>
      <c r="BI288" s="404">
        <v>0</v>
      </c>
      <c r="BJ288" s="404">
        <v>0</v>
      </c>
      <c r="BK288" s="404">
        <v>0</v>
      </c>
      <c r="BL288" s="404">
        <v>0</v>
      </c>
      <c r="BM288" s="404">
        <v>0</v>
      </c>
      <c r="BN288" s="404">
        <v>0</v>
      </c>
      <c r="BO288" s="404">
        <v>0</v>
      </c>
      <c r="BP288" s="404">
        <v>0</v>
      </c>
      <c r="BQ288" s="404">
        <v>0</v>
      </c>
      <c r="BR288" s="404">
        <v>0</v>
      </c>
      <c r="BS288" s="404">
        <v>2627</v>
      </c>
      <c r="BT288" s="404">
        <v>0</v>
      </c>
      <c r="BU288" s="404">
        <v>0</v>
      </c>
      <c r="BV288" s="404">
        <v>0</v>
      </c>
      <c r="BW288" s="404">
        <v>0</v>
      </c>
      <c r="BX288" s="404">
        <v>0</v>
      </c>
      <c r="BY288" s="404">
        <v>0</v>
      </c>
      <c r="BZ288" s="404">
        <v>0</v>
      </c>
      <c r="CA288" s="404">
        <v>0</v>
      </c>
      <c r="CB288" s="404">
        <v>0</v>
      </c>
      <c r="CC288" s="404">
        <v>840619</v>
      </c>
      <c r="CD288" s="404">
        <v>0</v>
      </c>
      <c r="CE288" s="404">
        <v>0</v>
      </c>
      <c r="CF288" s="404">
        <v>0</v>
      </c>
      <c r="CG288" s="404">
        <v>0</v>
      </c>
      <c r="CH288" s="404">
        <v>0</v>
      </c>
      <c r="CI288" s="404">
        <v>0</v>
      </c>
      <c r="CJ288" s="404">
        <v>0</v>
      </c>
      <c r="CK288" s="404">
        <v>0</v>
      </c>
      <c r="CL288" s="404">
        <v>0</v>
      </c>
      <c r="CM288" s="404">
        <v>0</v>
      </c>
      <c r="CN288" s="404">
        <v>0</v>
      </c>
      <c r="CO288" s="404">
        <v>0</v>
      </c>
      <c r="CP288" s="404">
        <v>0</v>
      </c>
      <c r="CQ288" s="404">
        <v>0</v>
      </c>
      <c r="CR288" s="404">
        <v>0</v>
      </c>
    </row>
    <row r="289" spans="1:96" s="404" customFormat="1" x14ac:dyDescent="0.3">
      <c r="A289" s="404">
        <v>630</v>
      </c>
      <c r="B289" s="405">
        <v>630</v>
      </c>
      <c r="C289" s="404">
        <v>630</v>
      </c>
      <c r="D289" s="404" t="s">
        <v>729</v>
      </c>
      <c r="F289" s="404">
        <v>0</v>
      </c>
      <c r="G289" s="404">
        <v>0</v>
      </c>
      <c r="H289" s="404">
        <v>0</v>
      </c>
      <c r="I289" s="404">
        <v>0</v>
      </c>
      <c r="J289" s="404">
        <v>0</v>
      </c>
      <c r="K289" s="404">
        <v>3380</v>
      </c>
      <c r="L289" s="404">
        <v>6812</v>
      </c>
      <c r="M289" s="404">
        <v>0</v>
      </c>
      <c r="N289" s="404">
        <v>0</v>
      </c>
      <c r="O289" s="404">
        <v>4313</v>
      </c>
      <c r="P289" s="404">
        <v>0</v>
      </c>
      <c r="Q289" s="404">
        <v>0</v>
      </c>
      <c r="R289" s="404">
        <v>0</v>
      </c>
      <c r="S289" s="404">
        <v>0</v>
      </c>
      <c r="T289" s="404">
        <v>0</v>
      </c>
      <c r="U289" s="404">
        <v>0</v>
      </c>
      <c r="V289" s="404">
        <v>0</v>
      </c>
      <c r="W289" s="404">
        <v>0</v>
      </c>
      <c r="X289" s="404">
        <v>0</v>
      </c>
      <c r="Y289" s="404">
        <v>0</v>
      </c>
      <c r="Z289" s="404">
        <v>0</v>
      </c>
      <c r="AA289" s="404">
        <v>0</v>
      </c>
      <c r="AB289" s="404">
        <v>13995</v>
      </c>
      <c r="AC289" s="404">
        <v>0</v>
      </c>
      <c r="AD289" s="404">
        <v>0</v>
      </c>
      <c r="AE289" s="404">
        <v>0</v>
      </c>
      <c r="AF289" s="404">
        <v>27707</v>
      </c>
      <c r="AG289" s="404">
        <v>0</v>
      </c>
      <c r="AH289" s="404">
        <v>0</v>
      </c>
      <c r="AI289" s="404">
        <v>0</v>
      </c>
      <c r="AJ289" s="404">
        <v>0</v>
      </c>
      <c r="AK289" s="404">
        <v>0</v>
      </c>
      <c r="AL289" s="404">
        <v>0</v>
      </c>
      <c r="AM289" s="404">
        <v>1160</v>
      </c>
      <c r="AN289" s="404">
        <v>0</v>
      </c>
      <c r="AO289" s="404">
        <v>0</v>
      </c>
      <c r="AP289" s="404">
        <v>0</v>
      </c>
      <c r="AQ289" s="404">
        <v>0</v>
      </c>
      <c r="AR289" s="404">
        <v>0</v>
      </c>
      <c r="AS289" s="404">
        <v>0</v>
      </c>
      <c r="AT289" s="404">
        <v>0</v>
      </c>
      <c r="AU289" s="404">
        <v>0</v>
      </c>
      <c r="AV289" s="404">
        <v>140</v>
      </c>
      <c r="AW289" s="404">
        <v>0</v>
      </c>
      <c r="AX289" s="404">
        <v>0</v>
      </c>
      <c r="AY289" s="404">
        <v>0</v>
      </c>
      <c r="AZ289" s="404">
        <v>0</v>
      </c>
      <c r="BA289" s="404">
        <v>0</v>
      </c>
      <c r="BB289" s="404">
        <v>0</v>
      </c>
      <c r="BC289" s="404">
        <v>0</v>
      </c>
      <c r="BD289" s="404">
        <v>0</v>
      </c>
      <c r="BE289" s="404">
        <v>0</v>
      </c>
      <c r="BF289" s="404">
        <v>0</v>
      </c>
      <c r="BG289" s="404">
        <v>0</v>
      </c>
      <c r="BH289" s="404">
        <v>0</v>
      </c>
      <c r="BI289" s="404">
        <v>6053</v>
      </c>
      <c r="BJ289" s="404">
        <v>0</v>
      </c>
      <c r="BK289" s="404">
        <v>0</v>
      </c>
      <c r="BL289" s="404">
        <v>11024</v>
      </c>
      <c r="BM289" s="404">
        <v>0</v>
      </c>
      <c r="BN289" s="404">
        <v>289611</v>
      </c>
      <c r="BO289" s="404">
        <v>0</v>
      </c>
      <c r="BP289" s="404">
        <v>0</v>
      </c>
      <c r="BQ289" s="404">
        <v>0</v>
      </c>
      <c r="BR289" s="404">
        <v>2182266</v>
      </c>
      <c r="BS289" s="404">
        <v>0</v>
      </c>
      <c r="BT289" s="404">
        <v>0</v>
      </c>
      <c r="BU289" s="404">
        <v>0</v>
      </c>
      <c r="BV289" s="404">
        <v>4000</v>
      </c>
      <c r="BW289" s="404">
        <v>0</v>
      </c>
      <c r="BX289" s="404">
        <v>0</v>
      </c>
      <c r="BY289" s="404">
        <v>4500</v>
      </c>
      <c r="BZ289" s="404">
        <v>0</v>
      </c>
      <c r="CA289" s="404">
        <v>0</v>
      </c>
      <c r="CB289" s="404">
        <v>0</v>
      </c>
      <c r="CC289" s="404">
        <v>2961019</v>
      </c>
      <c r="CD289" s="404">
        <v>786299</v>
      </c>
      <c r="CE289" s="404">
        <v>0</v>
      </c>
      <c r="CF289" s="404">
        <v>0</v>
      </c>
      <c r="CG289" s="404">
        <v>0</v>
      </c>
      <c r="CH289" s="404">
        <v>400</v>
      </c>
      <c r="CI289" s="404">
        <v>0</v>
      </c>
      <c r="CJ289" s="404">
        <v>151729</v>
      </c>
      <c r="CK289" s="404">
        <v>0</v>
      </c>
      <c r="CL289" s="404">
        <v>0</v>
      </c>
      <c r="CM289" s="404">
        <v>0</v>
      </c>
      <c r="CN289" s="404">
        <v>0</v>
      </c>
      <c r="CO289" s="404">
        <v>0</v>
      </c>
      <c r="CP289" s="404">
        <v>0</v>
      </c>
      <c r="CQ289" s="404">
        <v>0</v>
      </c>
      <c r="CR289" s="404">
        <v>0</v>
      </c>
    </row>
    <row r="290" spans="1:96" s="404" customFormat="1" x14ac:dyDescent="0.3">
      <c r="A290" s="404">
        <v>631</v>
      </c>
      <c r="B290" s="405">
        <v>631</v>
      </c>
      <c r="C290" s="404">
        <v>631</v>
      </c>
      <c r="D290" s="404" t="s">
        <v>728</v>
      </c>
      <c r="F290" s="404">
        <v>0</v>
      </c>
      <c r="G290" s="404">
        <v>0</v>
      </c>
      <c r="H290" s="404">
        <v>0</v>
      </c>
      <c r="I290" s="404">
        <v>0</v>
      </c>
      <c r="J290" s="404">
        <v>0</v>
      </c>
      <c r="K290" s="404">
        <v>0</v>
      </c>
      <c r="L290" s="404">
        <v>0</v>
      </c>
      <c r="M290" s="404">
        <v>0</v>
      </c>
      <c r="N290" s="404">
        <v>0</v>
      </c>
      <c r="O290" s="404">
        <v>0</v>
      </c>
      <c r="P290" s="404">
        <v>0</v>
      </c>
      <c r="Q290" s="404">
        <v>0</v>
      </c>
      <c r="R290" s="404">
        <v>0</v>
      </c>
      <c r="S290" s="404">
        <v>0</v>
      </c>
      <c r="T290" s="404">
        <v>0</v>
      </c>
      <c r="U290" s="404">
        <v>0</v>
      </c>
      <c r="V290" s="404">
        <v>0</v>
      </c>
      <c r="W290" s="404">
        <v>0</v>
      </c>
      <c r="X290" s="404">
        <v>0</v>
      </c>
      <c r="Y290" s="404">
        <v>0</v>
      </c>
      <c r="Z290" s="404">
        <v>0</v>
      </c>
      <c r="AA290" s="404">
        <v>0</v>
      </c>
      <c r="AB290" s="404">
        <v>0</v>
      </c>
      <c r="AC290" s="404">
        <v>0</v>
      </c>
      <c r="AD290" s="404">
        <v>0</v>
      </c>
      <c r="AE290" s="404">
        <v>0</v>
      </c>
      <c r="AF290" s="404">
        <v>0</v>
      </c>
      <c r="AG290" s="404">
        <v>0</v>
      </c>
      <c r="AH290" s="404">
        <v>0</v>
      </c>
      <c r="AI290" s="404">
        <v>0</v>
      </c>
      <c r="AJ290" s="404">
        <v>0</v>
      </c>
      <c r="AK290" s="404">
        <v>0</v>
      </c>
      <c r="AL290" s="404">
        <v>0</v>
      </c>
      <c r="AM290" s="404">
        <v>0</v>
      </c>
      <c r="AN290" s="404">
        <v>0</v>
      </c>
      <c r="AO290" s="404">
        <v>0</v>
      </c>
      <c r="AP290" s="404">
        <v>0</v>
      </c>
      <c r="AQ290" s="404">
        <v>0</v>
      </c>
      <c r="AR290" s="404">
        <v>0</v>
      </c>
      <c r="AS290" s="404">
        <v>0</v>
      </c>
      <c r="AT290" s="404">
        <v>0</v>
      </c>
      <c r="AU290" s="404">
        <v>0</v>
      </c>
      <c r="AV290" s="404">
        <v>0</v>
      </c>
      <c r="AW290" s="404">
        <v>0</v>
      </c>
      <c r="AX290" s="404">
        <v>0</v>
      </c>
      <c r="AY290" s="404">
        <v>0</v>
      </c>
      <c r="AZ290" s="404">
        <v>0</v>
      </c>
      <c r="BA290" s="404">
        <v>0</v>
      </c>
      <c r="BB290" s="404">
        <v>0</v>
      </c>
      <c r="BC290" s="404">
        <v>0</v>
      </c>
      <c r="BD290" s="404">
        <v>0</v>
      </c>
      <c r="BE290" s="404">
        <v>0</v>
      </c>
      <c r="BF290" s="404">
        <v>0</v>
      </c>
      <c r="BG290" s="404">
        <v>0</v>
      </c>
      <c r="BH290" s="404">
        <v>0</v>
      </c>
      <c r="BI290" s="404">
        <v>0</v>
      </c>
      <c r="BJ290" s="404">
        <v>0</v>
      </c>
      <c r="BK290" s="404">
        <v>0</v>
      </c>
      <c r="BL290" s="404">
        <v>0</v>
      </c>
      <c r="BM290" s="404">
        <v>0</v>
      </c>
      <c r="BN290" s="404">
        <v>0</v>
      </c>
      <c r="BO290" s="404">
        <v>0</v>
      </c>
      <c r="BP290" s="404">
        <v>0</v>
      </c>
      <c r="BQ290" s="404">
        <v>0</v>
      </c>
      <c r="BR290" s="404">
        <v>0</v>
      </c>
      <c r="BS290" s="404">
        <v>0</v>
      </c>
      <c r="BT290" s="404">
        <v>0</v>
      </c>
      <c r="BU290" s="404">
        <v>0</v>
      </c>
      <c r="BV290" s="404">
        <v>0</v>
      </c>
      <c r="BW290" s="404">
        <v>0</v>
      </c>
      <c r="BX290" s="404">
        <v>0</v>
      </c>
      <c r="BY290" s="404">
        <v>0</v>
      </c>
      <c r="BZ290" s="404">
        <v>0</v>
      </c>
      <c r="CA290" s="404">
        <v>0</v>
      </c>
      <c r="CB290" s="404">
        <v>0</v>
      </c>
      <c r="CC290" s="404">
        <v>0</v>
      </c>
      <c r="CD290" s="404">
        <v>0</v>
      </c>
      <c r="CE290" s="404">
        <v>0</v>
      </c>
      <c r="CF290" s="404">
        <v>0</v>
      </c>
      <c r="CG290" s="404">
        <v>0</v>
      </c>
      <c r="CH290" s="404">
        <v>0</v>
      </c>
      <c r="CI290" s="404">
        <v>0</v>
      </c>
      <c r="CJ290" s="404">
        <v>0</v>
      </c>
      <c r="CK290" s="404">
        <v>0</v>
      </c>
      <c r="CL290" s="404">
        <v>0</v>
      </c>
      <c r="CM290" s="404">
        <v>0</v>
      </c>
      <c r="CN290" s="404">
        <v>0</v>
      </c>
      <c r="CO290" s="404">
        <v>0</v>
      </c>
      <c r="CP290" s="404">
        <v>0</v>
      </c>
      <c r="CQ290" s="404">
        <v>0</v>
      </c>
      <c r="CR290" s="404">
        <v>0</v>
      </c>
    </row>
    <row r="291" spans="1:96" s="404" customFormat="1" x14ac:dyDescent="0.3">
      <c r="A291" s="404">
        <v>632</v>
      </c>
      <c r="B291" s="405">
        <v>632</v>
      </c>
      <c r="C291" s="404">
        <v>632</v>
      </c>
      <c r="D291" s="404" t="s">
        <v>727</v>
      </c>
      <c r="F291" s="404">
        <v>0</v>
      </c>
      <c r="G291" s="404">
        <v>0</v>
      </c>
      <c r="H291" s="404">
        <v>0</v>
      </c>
      <c r="I291" s="404">
        <v>0</v>
      </c>
      <c r="J291" s="404">
        <v>0</v>
      </c>
      <c r="K291" s="404">
        <v>0</v>
      </c>
      <c r="L291" s="404">
        <v>0</v>
      </c>
      <c r="M291" s="404">
        <v>0</v>
      </c>
      <c r="N291" s="404">
        <v>0</v>
      </c>
      <c r="O291" s="404">
        <v>0</v>
      </c>
      <c r="P291" s="404">
        <v>0</v>
      </c>
      <c r="Q291" s="404">
        <v>0</v>
      </c>
      <c r="R291" s="404">
        <v>0</v>
      </c>
      <c r="S291" s="404">
        <v>0</v>
      </c>
      <c r="T291" s="404">
        <v>0</v>
      </c>
      <c r="U291" s="404">
        <v>0</v>
      </c>
      <c r="V291" s="404">
        <v>0</v>
      </c>
      <c r="W291" s="404">
        <v>0</v>
      </c>
      <c r="X291" s="404">
        <v>0</v>
      </c>
      <c r="Y291" s="404">
        <v>0</v>
      </c>
      <c r="Z291" s="404">
        <v>0</v>
      </c>
      <c r="AA291" s="404">
        <v>0</v>
      </c>
      <c r="AB291" s="404">
        <v>0</v>
      </c>
      <c r="AC291" s="404">
        <v>0</v>
      </c>
      <c r="AD291" s="404">
        <v>0</v>
      </c>
      <c r="AE291" s="404">
        <v>0</v>
      </c>
      <c r="AF291" s="404">
        <v>0</v>
      </c>
      <c r="AG291" s="404">
        <v>0</v>
      </c>
      <c r="AH291" s="404">
        <v>0</v>
      </c>
      <c r="AI291" s="404">
        <v>0</v>
      </c>
      <c r="AJ291" s="404">
        <v>0</v>
      </c>
      <c r="AK291" s="404">
        <v>0</v>
      </c>
      <c r="AL291" s="404">
        <v>0</v>
      </c>
      <c r="AM291" s="404">
        <v>0</v>
      </c>
      <c r="AN291" s="404">
        <v>0</v>
      </c>
      <c r="AO291" s="404">
        <v>0</v>
      </c>
      <c r="AP291" s="404">
        <v>0</v>
      </c>
      <c r="AQ291" s="404">
        <v>0</v>
      </c>
      <c r="AR291" s="404">
        <v>0</v>
      </c>
      <c r="AS291" s="404">
        <v>0</v>
      </c>
      <c r="AT291" s="404">
        <v>0</v>
      </c>
      <c r="AU291" s="404">
        <v>0</v>
      </c>
      <c r="AV291" s="404">
        <v>0</v>
      </c>
      <c r="AW291" s="404">
        <v>0</v>
      </c>
      <c r="AX291" s="404">
        <v>0</v>
      </c>
      <c r="AY291" s="404">
        <v>0</v>
      </c>
      <c r="AZ291" s="404">
        <v>0</v>
      </c>
      <c r="BA291" s="404">
        <v>0</v>
      </c>
      <c r="BB291" s="404">
        <v>0</v>
      </c>
      <c r="BC291" s="404">
        <v>0</v>
      </c>
      <c r="BD291" s="404">
        <v>0</v>
      </c>
      <c r="BE291" s="404">
        <v>0</v>
      </c>
      <c r="BF291" s="404">
        <v>0</v>
      </c>
      <c r="BG291" s="404">
        <v>0</v>
      </c>
      <c r="BH291" s="404">
        <v>0</v>
      </c>
      <c r="BI291" s="404">
        <v>0</v>
      </c>
      <c r="BJ291" s="404">
        <v>0</v>
      </c>
      <c r="BK291" s="404">
        <v>0</v>
      </c>
      <c r="BL291" s="404">
        <v>0</v>
      </c>
      <c r="BM291" s="404">
        <v>0</v>
      </c>
      <c r="BN291" s="404">
        <v>0</v>
      </c>
      <c r="BO291" s="404">
        <v>0</v>
      </c>
      <c r="BP291" s="404">
        <v>0</v>
      </c>
      <c r="BQ291" s="404">
        <v>0</v>
      </c>
      <c r="BR291" s="404">
        <v>0</v>
      </c>
      <c r="BS291" s="404">
        <v>0</v>
      </c>
      <c r="BT291" s="404">
        <v>0</v>
      </c>
      <c r="BU291" s="404">
        <v>0</v>
      </c>
      <c r="BV291" s="404">
        <v>0</v>
      </c>
      <c r="BW291" s="404">
        <v>0</v>
      </c>
      <c r="BX291" s="404">
        <v>0</v>
      </c>
      <c r="BY291" s="404">
        <v>0</v>
      </c>
      <c r="BZ291" s="404">
        <v>0</v>
      </c>
      <c r="CA291" s="404">
        <v>0</v>
      </c>
      <c r="CB291" s="404">
        <v>0</v>
      </c>
      <c r="CC291" s="404">
        <v>0</v>
      </c>
      <c r="CD291" s="404">
        <v>0</v>
      </c>
      <c r="CE291" s="404">
        <v>0</v>
      </c>
      <c r="CF291" s="404">
        <v>0</v>
      </c>
      <c r="CG291" s="404">
        <v>0</v>
      </c>
      <c r="CH291" s="404">
        <v>0</v>
      </c>
      <c r="CI291" s="404">
        <v>0</v>
      </c>
      <c r="CJ291" s="404">
        <v>0</v>
      </c>
      <c r="CK291" s="404">
        <v>0</v>
      </c>
      <c r="CL291" s="404">
        <v>0</v>
      </c>
      <c r="CM291" s="404">
        <v>0</v>
      </c>
      <c r="CN291" s="404">
        <v>0</v>
      </c>
      <c r="CO291" s="404">
        <v>0</v>
      </c>
      <c r="CP291" s="404">
        <v>0</v>
      </c>
      <c r="CQ291" s="404">
        <v>0</v>
      </c>
      <c r="CR291" s="404">
        <v>0</v>
      </c>
    </row>
    <row r="292" spans="1:96" s="404" customFormat="1" x14ac:dyDescent="0.3">
      <c r="A292" s="404">
        <v>633</v>
      </c>
      <c r="B292" s="405">
        <v>633</v>
      </c>
      <c r="C292" s="404">
        <v>633</v>
      </c>
      <c r="D292" s="404" t="s">
        <v>735</v>
      </c>
      <c r="F292" s="404">
        <v>0</v>
      </c>
      <c r="G292" s="404">
        <v>0</v>
      </c>
      <c r="H292" s="404">
        <v>43911</v>
      </c>
      <c r="I292" s="404">
        <v>808640</v>
      </c>
      <c r="J292" s="404">
        <v>92039</v>
      </c>
      <c r="K292" s="404">
        <v>126169</v>
      </c>
      <c r="L292" s="404">
        <v>3510692</v>
      </c>
      <c r="M292" s="404">
        <v>109902</v>
      </c>
      <c r="N292" s="404">
        <v>0</v>
      </c>
      <c r="O292" s="404">
        <v>54328</v>
      </c>
      <c r="P292" s="404">
        <v>219679</v>
      </c>
      <c r="Q292" s="404">
        <v>0</v>
      </c>
      <c r="R292" s="404">
        <v>72323</v>
      </c>
      <c r="S292" s="404">
        <v>0</v>
      </c>
      <c r="T292" s="404">
        <v>0</v>
      </c>
      <c r="U292" s="404">
        <v>0</v>
      </c>
      <c r="V292" s="404">
        <v>2513810</v>
      </c>
      <c r="W292" s="404">
        <v>0</v>
      </c>
      <c r="X292" s="404">
        <v>128484</v>
      </c>
      <c r="Y292" s="404">
        <v>0</v>
      </c>
      <c r="Z292" s="404">
        <v>575518</v>
      </c>
      <c r="AA292" s="404">
        <v>0</v>
      </c>
      <c r="AB292" s="404">
        <v>184226</v>
      </c>
      <c r="AC292" s="404">
        <v>457030</v>
      </c>
      <c r="AD292" s="404">
        <v>459028</v>
      </c>
      <c r="AE292" s="404">
        <v>83425</v>
      </c>
      <c r="AF292" s="404">
        <v>4822272</v>
      </c>
      <c r="AG292" s="404">
        <v>0</v>
      </c>
      <c r="AH292" s="404">
        <v>371098</v>
      </c>
      <c r="AI292" s="404">
        <v>0</v>
      </c>
      <c r="AJ292" s="404">
        <v>22265</v>
      </c>
      <c r="AK292" s="404">
        <v>1842977</v>
      </c>
      <c r="AL292" s="404">
        <v>491271</v>
      </c>
      <c r="AM292" s="404">
        <v>840542</v>
      </c>
      <c r="AN292" s="404">
        <v>640442</v>
      </c>
      <c r="AO292" s="404">
        <v>7898</v>
      </c>
      <c r="AP292" s="404">
        <v>0</v>
      </c>
      <c r="AQ292" s="404">
        <v>404208</v>
      </c>
      <c r="AR292" s="404">
        <v>0</v>
      </c>
      <c r="AS292" s="404">
        <v>0</v>
      </c>
      <c r="AT292" s="404">
        <v>0</v>
      </c>
      <c r="AU292" s="404">
        <v>0</v>
      </c>
      <c r="AV292" s="404">
        <v>0</v>
      </c>
      <c r="AW292" s="404">
        <v>29156</v>
      </c>
      <c r="AX292" s="404">
        <v>350758</v>
      </c>
      <c r="AY292" s="404">
        <v>25412</v>
      </c>
      <c r="AZ292" s="404">
        <v>0</v>
      </c>
      <c r="BA292" s="404">
        <v>210648</v>
      </c>
      <c r="BB292" s="404">
        <v>629542</v>
      </c>
      <c r="BC292" s="404">
        <v>0</v>
      </c>
      <c r="BD292" s="404">
        <v>188904</v>
      </c>
      <c r="BE292" s="404">
        <v>127083</v>
      </c>
      <c r="BF292" s="404">
        <v>127083</v>
      </c>
      <c r="BG292" s="404">
        <v>216550</v>
      </c>
      <c r="BH292" s="404">
        <v>282586</v>
      </c>
      <c r="BI292" s="404">
        <v>606078</v>
      </c>
      <c r="BJ292" s="404">
        <v>0</v>
      </c>
      <c r="BK292" s="404">
        <v>0</v>
      </c>
      <c r="BL292" s="404">
        <v>0</v>
      </c>
      <c r="BM292" s="404">
        <v>419051</v>
      </c>
      <c r="BN292" s="404">
        <v>3487064</v>
      </c>
      <c r="BO292" s="404">
        <v>0</v>
      </c>
      <c r="BP292" s="404">
        <v>0</v>
      </c>
      <c r="BQ292" s="404">
        <v>120614</v>
      </c>
      <c r="BR292" s="404">
        <v>0</v>
      </c>
      <c r="BS292" s="404">
        <v>0</v>
      </c>
      <c r="BT292" s="404">
        <v>0</v>
      </c>
      <c r="BU292" s="404">
        <v>204735</v>
      </c>
      <c r="BV292" s="404">
        <v>0</v>
      </c>
      <c r="BW292" s="404">
        <v>0</v>
      </c>
      <c r="BX292" s="404">
        <v>315412</v>
      </c>
      <c r="BY292" s="404">
        <v>1054761</v>
      </c>
      <c r="BZ292" s="404">
        <v>2415</v>
      </c>
      <c r="CA292" s="404">
        <v>0</v>
      </c>
      <c r="CB292" s="404">
        <v>894316</v>
      </c>
      <c r="CC292" s="404">
        <v>0</v>
      </c>
      <c r="CD292" s="404">
        <v>5854702</v>
      </c>
      <c r="CE292" s="404">
        <v>41520</v>
      </c>
      <c r="CF292" s="404">
        <v>419847</v>
      </c>
      <c r="CG292" s="404">
        <v>85755</v>
      </c>
      <c r="CH292" s="404">
        <v>433354</v>
      </c>
      <c r="CI292" s="404">
        <v>31214610</v>
      </c>
      <c r="CJ292" s="404">
        <v>708887</v>
      </c>
      <c r="CK292" s="404">
        <v>315791</v>
      </c>
      <c r="CL292" s="404">
        <v>0</v>
      </c>
      <c r="CM292" s="404">
        <v>57658</v>
      </c>
      <c r="CN292" s="404">
        <v>128761</v>
      </c>
      <c r="CO292" s="404">
        <v>148503</v>
      </c>
      <c r="CP292" s="404">
        <v>329125</v>
      </c>
      <c r="CQ292" s="404">
        <v>0</v>
      </c>
      <c r="CR292" s="404">
        <v>0</v>
      </c>
    </row>
    <row r="293" spans="1:96" s="404" customFormat="1" x14ac:dyDescent="0.3">
      <c r="A293" s="404">
        <v>634</v>
      </c>
      <c r="B293" s="405">
        <v>634</v>
      </c>
      <c r="C293" s="404">
        <v>634</v>
      </c>
      <c r="D293" s="404" t="s">
        <v>736</v>
      </c>
      <c r="F293" s="404">
        <v>0</v>
      </c>
      <c r="G293" s="404">
        <v>0</v>
      </c>
      <c r="H293" s="404">
        <v>0</v>
      </c>
      <c r="I293" s="404">
        <v>0</v>
      </c>
      <c r="J293" s="404">
        <v>0</v>
      </c>
      <c r="K293" s="404">
        <v>0</v>
      </c>
      <c r="L293" s="404">
        <v>0</v>
      </c>
      <c r="M293" s="404">
        <v>0</v>
      </c>
      <c r="N293" s="404">
        <v>0</v>
      </c>
      <c r="O293" s="404">
        <v>0</v>
      </c>
      <c r="P293" s="404">
        <v>0</v>
      </c>
      <c r="Q293" s="404">
        <v>0</v>
      </c>
      <c r="R293" s="404">
        <v>0</v>
      </c>
      <c r="S293" s="404">
        <v>0</v>
      </c>
      <c r="T293" s="404">
        <v>0</v>
      </c>
      <c r="U293" s="404">
        <v>0</v>
      </c>
      <c r="V293" s="404">
        <v>1762835</v>
      </c>
      <c r="W293" s="404">
        <v>0</v>
      </c>
      <c r="X293" s="404">
        <v>0</v>
      </c>
      <c r="Y293" s="404">
        <v>0</v>
      </c>
      <c r="Z293" s="404">
        <v>0</v>
      </c>
      <c r="AA293" s="404">
        <v>0</v>
      </c>
      <c r="AB293" s="404">
        <v>0</v>
      </c>
      <c r="AC293" s="404">
        <v>0</v>
      </c>
      <c r="AD293" s="404">
        <v>0</v>
      </c>
      <c r="AE293" s="404">
        <v>0</v>
      </c>
      <c r="AF293" s="404">
        <v>0</v>
      </c>
      <c r="AG293" s="404">
        <v>0</v>
      </c>
      <c r="AH293" s="404">
        <v>0</v>
      </c>
      <c r="AI293" s="404">
        <v>0</v>
      </c>
      <c r="AJ293" s="404">
        <v>0</v>
      </c>
      <c r="AK293" s="404">
        <v>0</v>
      </c>
      <c r="AL293" s="404">
        <v>0</v>
      </c>
      <c r="AM293" s="404">
        <v>0</v>
      </c>
      <c r="AN293" s="404">
        <v>0</v>
      </c>
      <c r="AO293" s="404">
        <v>0</v>
      </c>
      <c r="AP293" s="404">
        <v>0</v>
      </c>
      <c r="AQ293" s="404">
        <v>0</v>
      </c>
      <c r="AR293" s="404">
        <v>0</v>
      </c>
      <c r="AS293" s="404">
        <v>0</v>
      </c>
      <c r="AT293" s="404">
        <v>0</v>
      </c>
      <c r="AU293" s="404">
        <v>0</v>
      </c>
      <c r="AV293" s="404">
        <v>0</v>
      </c>
      <c r="AW293" s="404">
        <v>0</v>
      </c>
      <c r="AX293" s="404">
        <v>0</v>
      </c>
      <c r="AY293" s="404">
        <v>0</v>
      </c>
      <c r="AZ293" s="404">
        <v>0</v>
      </c>
      <c r="BA293" s="404">
        <v>0</v>
      </c>
      <c r="BB293" s="404">
        <v>368685</v>
      </c>
      <c r="BC293" s="404">
        <v>0</v>
      </c>
      <c r="BD293" s="404">
        <v>0</v>
      </c>
      <c r="BE293" s="404">
        <v>0</v>
      </c>
      <c r="BF293" s="404">
        <v>0</v>
      </c>
      <c r="BG293" s="404">
        <v>0</v>
      </c>
      <c r="BH293" s="404">
        <v>0</v>
      </c>
      <c r="BI293" s="404">
        <v>0</v>
      </c>
      <c r="BJ293" s="404">
        <v>0</v>
      </c>
      <c r="BK293" s="404">
        <v>0</v>
      </c>
      <c r="BL293" s="404">
        <v>0</v>
      </c>
      <c r="BM293" s="404">
        <v>0</v>
      </c>
      <c r="BN293" s="404">
        <v>2666000</v>
      </c>
      <c r="BO293" s="404">
        <v>0</v>
      </c>
      <c r="BP293" s="404">
        <v>0</v>
      </c>
      <c r="BQ293" s="404">
        <v>0</v>
      </c>
      <c r="BR293" s="404">
        <v>0</v>
      </c>
      <c r="BS293" s="404">
        <v>0</v>
      </c>
      <c r="BT293" s="404">
        <v>0</v>
      </c>
      <c r="BU293" s="404">
        <v>0</v>
      </c>
      <c r="BV293" s="404">
        <v>0</v>
      </c>
      <c r="BW293" s="404">
        <v>0</v>
      </c>
      <c r="BX293" s="404">
        <v>0</v>
      </c>
      <c r="BY293" s="404">
        <v>0</v>
      </c>
      <c r="BZ293" s="404">
        <v>0</v>
      </c>
      <c r="CA293" s="404">
        <v>0</v>
      </c>
      <c r="CB293" s="404">
        <v>0</v>
      </c>
      <c r="CC293" s="404">
        <v>0</v>
      </c>
      <c r="CD293" s="404">
        <v>1869125</v>
      </c>
      <c r="CE293" s="404">
        <v>41000</v>
      </c>
      <c r="CF293" s="404">
        <v>0</v>
      </c>
      <c r="CG293" s="404">
        <v>0</v>
      </c>
      <c r="CH293" s="404">
        <v>0</v>
      </c>
      <c r="CI293" s="404">
        <v>0</v>
      </c>
      <c r="CJ293" s="404">
        <v>0</v>
      </c>
      <c r="CK293" s="404">
        <v>0</v>
      </c>
      <c r="CL293" s="404">
        <v>0</v>
      </c>
      <c r="CM293" s="404">
        <v>0</v>
      </c>
      <c r="CN293" s="404">
        <v>0</v>
      </c>
      <c r="CO293" s="404">
        <v>0</v>
      </c>
      <c r="CP293" s="404">
        <v>0</v>
      </c>
      <c r="CQ293" s="404">
        <v>0</v>
      </c>
      <c r="CR293" s="404">
        <v>0</v>
      </c>
    </row>
    <row r="294" spans="1:96" s="404" customFormat="1" x14ac:dyDescent="0.3">
      <c r="A294" s="404">
        <v>635</v>
      </c>
      <c r="B294" s="405">
        <v>635</v>
      </c>
      <c r="C294" s="404">
        <v>635</v>
      </c>
      <c r="D294" s="404" t="s">
        <v>737</v>
      </c>
      <c r="F294" s="404">
        <v>0</v>
      </c>
      <c r="G294" s="404">
        <v>0</v>
      </c>
      <c r="H294" s="404">
        <v>0</v>
      </c>
      <c r="I294" s="404">
        <v>7591</v>
      </c>
      <c r="J294" s="404">
        <v>5752</v>
      </c>
      <c r="K294" s="404">
        <v>3595</v>
      </c>
      <c r="L294" s="404">
        <v>126617</v>
      </c>
      <c r="M294" s="404">
        <v>0</v>
      </c>
      <c r="N294" s="404">
        <v>0</v>
      </c>
      <c r="O294" s="404">
        <v>0</v>
      </c>
      <c r="P294" s="404">
        <v>0</v>
      </c>
      <c r="Q294" s="404">
        <v>0</v>
      </c>
      <c r="R294" s="404">
        <v>0</v>
      </c>
      <c r="S294" s="404">
        <v>0</v>
      </c>
      <c r="T294" s="404">
        <v>0</v>
      </c>
      <c r="U294" s="404">
        <v>0</v>
      </c>
      <c r="V294" s="404">
        <v>0</v>
      </c>
      <c r="W294" s="404">
        <v>0</v>
      </c>
      <c r="X294" s="404">
        <v>0</v>
      </c>
      <c r="Y294" s="404">
        <v>0</v>
      </c>
      <c r="Z294" s="404">
        <v>0</v>
      </c>
      <c r="AA294" s="404">
        <v>0</v>
      </c>
      <c r="AB294" s="404">
        <v>11313</v>
      </c>
      <c r="AC294" s="404">
        <v>20387</v>
      </c>
      <c r="AD294" s="404">
        <v>1751</v>
      </c>
      <c r="AE294" s="404">
        <v>0</v>
      </c>
      <c r="AF294" s="404">
        <v>87828</v>
      </c>
      <c r="AG294" s="404">
        <v>0</v>
      </c>
      <c r="AH294" s="404">
        <v>0</v>
      </c>
      <c r="AI294" s="404">
        <v>0</v>
      </c>
      <c r="AJ294" s="404">
        <v>0</v>
      </c>
      <c r="AK294" s="404">
        <v>0</v>
      </c>
      <c r="AL294" s="404">
        <v>22881</v>
      </c>
      <c r="AM294" s="404">
        <v>17278</v>
      </c>
      <c r="AN294" s="404">
        <v>38761</v>
      </c>
      <c r="AO294" s="404">
        <v>1410</v>
      </c>
      <c r="AP294" s="404">
        <v>0</v>
      </c>
      <c r="AQ294" s="404">
        <v>0</v>
      </c>
      <c r="AR294" s="404">
        <v>0</v>
      </c>
      <c r="AS294" s="404">
        <v>0</v>
      </c>
      <c r="AT294" s="404">
        <v>0</v>
      </c>
      <c r="AU294" s="404">
        <v>0</v>
      </c>
      <c r="AV294" s="404">
        <v>0</v>
      </c>
      <c r="AW294" s="404">
        <v>900</v>
      </c>
      <c r="AX294" s="404">
        <v>0</v>
      </c>
      <c r="AY294" s="404">
        <v>0</v>
      </c>
      <c r="AZ294" s="404">
        <v>0</v>
      </c>
      <c r="BA294" s="404">
        <v>0</v>
      </c>
      <c r="BB294" s="404">
        <v>94584</v>
      </c>
      <c r="BC294" s="404">
        <v>0</v>
      </c>
      <c r="BD294" s="404">
        <v>20988</v>
      </c>
      <c r="BE294" s="404">
        <v>0</v>
      </c>
      <c r="BF294" s="404">
        <v>0</v>
      </c>
      <c r="BG294" s="404">
        <v>0</v>
      </c>
      <c r="BH294" s="404">
        <v>13199</v>
      </c>
      <c r="BI294" s="404">
        <v>141728</v>
      </c>
      <c r="BJ294" s="404">
        <v>0</v>
      </c>
      <c r="BK294" s="404">
        <v>0</v>
      </c>
      <c r="BL294" s="404">
        <v>0</v>
      </c>
      <c r="BM294" s="404">
        <v>60558</v>
      </c>
      <c r="BN294" s="404">
        <v>41000</v>
      </c>
      <c r="BO294" s="404">
        <v>0</v>
      </c>
      <c r="BP294" s="404">
        <v>0</v>
      </c>
      <c r="BQ294" s="404">
        <v>7633</v>
      </c>
      <c r="BR294" s="404">
        <v>0</v>
      </c>
      <c r="BS294" s="404">
        <v>0</v>
      </c>
      <c r="BT294" s="404">
        <v>0</v>
      </c>
      <c r="BU294" s="404">
        <v>14467</v>
      </c>
      <c r="BV294" s="404">
        <v>0</v>
      </c>
      <c r="BW294" s="404">
        <v>0</v>
      </c>
      <c r="BX294" s="404">
        <v>10000</v>
      </c>
      <c r="BY294" s="404">
        <v>0</v>
      </c>
      <c r="BZ294" s="404">
        <v>0</v>
      </c>
      <c r="CA294" s="404">
        <v>0</v>
      </c>
      <c r="CB294" s="404">
        <v>17990</v>
      </c>
      <c r="CC294" s="404">
        <v>0</v>
      </c>
      <c r="CD294" s="404">
        <v>264144</v>
      </c>
      <c r="CE294" s="404">
        <v>0</v>
      </c>
      <c r="CF294" s="404">
        <v>4492</v>
      </c>
      <c r="CG294" s="404">
        <v>0</v>
      </c>
      <c r="CH294" s="404">
        <v>19796</v>
      </c>
      <c r="CI294" s="404">
        <v>478269</v>
      </c>
      <c r="CJ294" s="404">
        <v>6081</v>
      </c>
      <c r="CK294" s="404">
        <v>18524</v>
      </c>
      <c r="CL294" s="404">
        <v>0</v>
      </c>
      <c r="CM294" s="404">
        <v>0</v>
      </c>
      <c r="CN294" s="404">
        <v>6983</v>
      </c>
      <c r="CO294" s="404">
        <v>59868</v>
      </c>
      <c r="CP294" s="404">
        <v>14466</v>
      </c>
      <c r="CQ294" s="404">
        <v>0</v>
      </c>
      <c r="CR294" s="404">
        <v>0</v>
      </c>
    </row>
    <row r="295" spans="1:96" s="404" customFormat="1" x14ac:dyDescent="0.3">
      <c r="A295" s="404">
        <v>636</v>
      </c>
      <c r="B295" s="405">
        <v>636</v>
      </c>
      <c r="C295" s="404">
        <v>636</v>
      </c>
      <c r="D295" s="404" t="s">
        <v>732</v>
      </c>
      <c r="F295" s="404">
        <v>0</v>
      </c>
      <c r="G295" s="404">
        <v>0</v>
      </c>
      <c r="H295" s="404">
        <v>0</v>
      </c>
      <c r="I295" s="404">
        <v>0</v>
      </c>
      <c r="J295" s="404">
        <v>0</v>
      </c>
      <c r="K295" s="404">
        <v>0</v>
      </c>
      <c r="L295" s="404">
        <v>0</v>
      </c>
      <c r="M295" s="404">
        <v>0</v>
      </c>
      <c r="N295" s="404">
        <v>0</v>
      </c>
      <c r="O295" s="404">
        <v>0</v>
      </c>
      <c r="P295" s="404">
        <v>0</v>
      </c>
      <c r="Q295" s="404">
        <v>0</v>
      </c>
      <c r="R295" s="404">
        <v>0</v>
      </c>
      <c r="S295" s="404">
        <v>0</v>
      </c>
      <c r="T295" s="404">
        <v>0</v>
      </c>
      <c r="U295" s="404">
        <v>0</v>
      </c>
      <c r="V295" s="404">
        <v>0</v>
      </c>
      <c r="W295" s="404">
        <v>0</v>
      </c>
      <c r="X295" s="404">
        <v>0</v>
      </c>
      <c r="Y295" s="404">
        <v>0</v>
      </c>
      <c r="Z295" s="404">
        <v>0</v>
      </c>
      <c r="AA295" s="404">
        <v>0</v>
      </c>
      <c r="AB295" s="404">
        <v>0</v>
      </c>
      <c r="AC295" s="404">
        <v>0</v>
      </c>
      <c r="AD295" s="404">
        <v>5800</v>
      </c>
      <c r="AE295" s="404">
        <v>0</v>
      </c>
      <c r="AF295" s="404">
        <v>0</v>
      </c>
      <c r="AG295" s="404">
        <v>0</v>
      </c>
      <c r="AH295" s="404">
        <v>0</v>
      </c>
      <c r="AI295" s="404">
        <v>0</v>
      </c>
      <c r="AJ295" s="404">
        <v>0</v>
      </c>
      <c r="AK295" s="404">
        <v>0</v>
      </c>
      <c r="AL295" s="404">
        <v>0</v>
      </c>
      <c r="AM295" s="404">
        <v>0</v>
      </c>
      <c r="AN295" s="404">
        <v>0</v>
      </c>
      <c r="AO295" s="404">
        <v>0</v>
      </c>
      <c r="AP295" s="404">
        <v>0</v>
      </c>
      <c r="AQ295" s="404">
        <v>0</v>
      </c>
      <c r="AR295" s="404">
        <v>0</v>
      </c>
      <c r="AS295" s="404">
        <v>0</v>
      </c>
      <c r="AT295" s="404">
        <v>0</v>
      </c>
      <c r="AU295" s="404">
        <v>0</v>
      </c>
      <c r="AV295" s="404">
        <v>0</v>
      </c>
      <c r="AW295" s="404">
        <v>0</v>
      </c>
      <c r="AX295" s="404">
        <v>0</v>
      </c>
      <c r="AY295" s="404">
        <v>0</v>
      </c>
      <c r="AZ295" s="404">
        <v>0</v>
      </c>
      <c r="BA295" s="404">
        <v>0</v>
      </c>
      <c r="BB295" s="404">
        <v>0</v>
      </c>
      <c r="BC295" s="404">
        <v>0</v>
      </c>
      <c r="BD295" s="404">
        <v>0</v>
      </c>
      <c r="BE295" s="404">
        <v>0</v>
      </c>
      <c r="BF295" s="404">
        <v>0</v>
      </c>
      <c r="BG295" s="404">
        <v>0</v>
      </c>
      <c r="BH295" s="404">
        <v>0</v>
      </c>
      <c r="BI295" s="404">
        <v>0</v>
      </c>
      <c r="BJ295" s="404">
        <v>0</v>
      </c>
      <c r="BK295" s="404">
        <v>0</v>
      </c>
      <c r="BL295" s="404">
        <v>0</v>
      </c>
      <c r="BM295" s="404">
        <v>0</v>
      </c>
      <c r="BN295" s="404">
        <v>0</v>
      </c>
      <c r="BO295" s="404">
        <v>0</v>
      </c>
      <c r="BP295" s="404">
        <v>0</v>
      </c>
      <c r="BQ295" s="404">
        <v>0</v>
      </c>
      <c r="BR295" s="404">
        <v>0</v>
      </c>
      <c r="BS295" s="404">
        <v>0</v>
      </c>
      <c r="BT295" s="404">
        <v>0</v>
      </c>
      <c r="BU295" s="404">
        <v>0</v>
      </c>
      <c r="BV295" s="404">
        <v>0</v>
      </c>
      <c r="BW295" s="404">
        <v>0</v>
      </c>
      <c r="BX295" s="404">
        <v>0</v>
      </c>
      <c r="BY295" s="404">
        <v>0</v>
      </c>
      <c r="BZ295" s="404">
        <v>0</v>
      </c>
      <c r="CA295" s="404">
        <v>0</v>
      </c>
      <c r="CB295" s="404">
        <v>0</v>
      </c>
      <c r="CC295" s="404">
        <v>0</v>
      </c>
      <c r="CD295" s="404">
        <v>0</v>
      </c>
      <c r="CE295" s="404">
        <v>0</v>
      </c>
      <c r="CF295" s="404">
        <v>0</v>
      </c>
      <c r="CG295" s="404">
        <v>0</v>
      </c>
      <c r="CH295" s="404">
        <v>0</v>
      </c>
      <c r="CI295" s="404">
        <v>0</v>
      </c>
      <c r="CJ295" s="404">
        <v>0</v>
      </c>
      <c r="CK295" s="404">
        <v>0</v>
      </c>
      <c r="CL295" s="404">
        <v>0</v>
      </c>
      <c r="CM295" s="404">
        <v>0</v>
      </c>
      <c r="CN295" s="404">
        <v>0</v>
      </c>
      <c r="CO295" s="404">
        <v>0</v>
      </c>
      <c r="CP295" s="404">
        <v>0</v>
      </c>
      <c r="CQ295" s="404">
        <v>0</v>
      </c>
      <c r="CR295" s="404">
        <v>0</v>
      </c>
    </row>
    <row r="296" spans="1:96" s="404" customFormat="1" x14ac:dyDescent="0.3">
      <c r="A296" s="404">
        <v>637</v>
      </c>
      <c r="B296" s="405">
        <v>637</v>
      </c>
      <c r="C296" s="404">
        <v>637</v>
      </c>
      <c r="D296" s="404" t="s">
        <v>733</v>
      </c>
      <c r="F296" s="404">
        <v>0</v>
      </c>
      <c r="G296" s="404">
        <v>0</v>
      </c>
      <c r="H296" s="404">
        <v>0</v>
      </c>
      <c r="I296" s="404">
        <v>0</v>
      </c>
      <c r="J296" s="404">
        <v>0</v>
      </c>
      <c r="K296" s="404">
        <v>1950</v>
      </c>
      <c r="L296" s="404">
        <v>0</v>
      </c>
      <c r="M296" s="404">
        <v>19819</v>
      </c>
      <c r="N296" s="404">
        <v>0</v>
      </c>
      <c r="O296" s="404">
        <v>0</v>
      </c>
      <c r="P296" s="404">
        <v>0</v>
      </c>
      <c r="Q296" s="404">
        <v>0</v>
      </c>
      <c r="R296" s="404">
        <v>0</v>
      </c>
      <c r="S296" s="404">
        <v>0</v>
      </c>
      <c r="T296" s="404">
        <v>0</v>
      </c>
      <c r="U296" s="404">
        <v>0</v>
      </c>
      <c r="V296" s="404">
        <v>440420</v>
      </c>
      <c r="W296" s="404">
        <v>0</v>
      </c>
      <c r="X296" s="404">
        <v>0</v>
      </c>
      <c r="Y296" s="404">
        <v>0</v>
      </c>
      <c r="Z296" s="404">
        <v>0</v>
      </c>
      <c r="AA296" s="404">
        <v>0</v>
      </c>
      <c r="AB296" s="404">
        <v>48100</v>
      </c>
      <c r="AC296" s="404">
        <v>4108</v>
      </c>
      <c r="AD296" s="404">
        <v>0</v>
      </c>
      <c r="AE296" s="404">
        <v>0</v>
      </c>
      <c r="AF296" s="404">
        <v>389543</v>
      </c>
      <c r="AG296" s="404">
        <v>0</v>
      </c>
      <c r="AH296" s="404">
        <v>0</v>
      </c>
      <c r="AI296" s="404">
        <v>0</v>
      </c>
      <c r="AJ296" s="404">
        <v>2736</v>
      </c>
      <c r="AK296" s="404">
        <v>0</v>
      </c>
      <c r="AL296" s="404">
        <v>152580</v>
      </c>
      <c r="AM296" s="404">
        <v>473852</v>
      </c>
      <c r="AN296" s="404">
        <v>130973</v>
      </c>
      <c r="AO296" s="404">
        <v>0</v>
      </c>
      <c r="AP296" s="404">
        <v>0</v>
      </c>
      <c r="AQ296" s="404">
        <v>76781</v>
      </c>
      <c r="AR296" s="404">
        <v>0</v>
      </c>
      <c r="AS296" s="404">
        <v>0</v>
      </c>
      <c r="AT296" s="404">
        <v>0</v>
      </c>
      <c r="AU296" s="404">
        <v>0</v>
      </c>
      <c r="AV296" s="404">
        <v>0</v>
      </c>
      <c r="AW296" s="404">
        <v>0</v>
      </c>
      <c r="AX296" s="404">
        <v>152585</v>
      </c>
      <c r="AY296" s="404">
        <v>0</v>
      </c>
      <c r="AZ296" s="404">
        <v>0</v>
      </c>
      <c r="BA296" s="404">
        <v>0</v>
      </c>
      <c r="BB296" s="404">
        <v>0</v>
      </c>
      <c r="BC296" s="404">
        <v>0</v>
      </c>
      <c r="BD296" s="404">
        <v>30852</v>
      </c>
      <c r="BE296" s="404">
        <v>12800</v>
      </c>
      <c r="BF296" s="404">
        <v>10850</v>
      </c>
      <c r="BG296" s="404">
        <v>0</v>
      </c>
      <c r="BH296" s="404">
        <v>0</v>
      </c>
      <c r="BI296" s="404">
        <v>60989</v>
      </c>
      <c r="BJ296" s="404">
        <v>0</v>
      </c>
      <c r="BK296" s="404">
        <v>0</v>
      </c>
      <c r="BL296" s="404">
        <v>0</v>
      </c>
      <c r="BM296" s="404">
        <v>0</v>
      </c>
      <c r="BN296" s="404">
        <v>26084</v>
      </c>
      <c r="BO296" s="404">
        <v>0</v>
      </c>
      <c r="BP296" s="404">
        <v>0</v>
      </c>
      <c r="BQ296" s="404">
        <v>48782</v>
      </c>
      <c r="BR296" s="404">
        <v>0</v>
      </c>
      <c r="BS296" s="404">
        <v>0</v>
      </c>
      <c r="BT296" s="404">
        <v>0</v>
      </c>
      <c r="BU296" s="404">
        <v>36920</v>
      </c>
      <c r="BV296" s="404">
        <v>0</v>
      </c>
      <c r="BW296" s="404">
        <v>0</v>
      </c>
      <c r="BX296" s="404">
        <v>149690</v>
      </c>
      <c r="BY296" s="404">
        <v>166773</v>
      </c>
      <c r="BZ296" s="404">
        <v>0</v>
      </c>
      <c r="CA296" s="404">
        <v>0</v>
      </c>
      <c r="CB296" s="404">
        <v>158501</v>
      </c>
      <c r="CC296" s="404">
        <v>0</v>
      </c>
      <c r="CD296" s="404">
        <v>367777</v>
      </c>
      <c r="CE296" s="404">
        <v>0</v>
      </c>
      <c r="CF296" s="404">
        <v>0</v>
      </c>
      <c r="CG296" s="404">
        <v>0</v>
      </c>
      <c r="CH296" s="404">
        <v>49890</v>
      </c>
      <c r="CI296" s="404">
        <v>0</v>
      </c>
      <c r="CJ296" s="404">
        <v>24985</v>
      </c>
      <c r="CK296" s="404">
        <v>0</v>
      </c>
      <c r="CL296" s="404">
        <v>0</v>
      </c>
      <c r="CM296" s="404">
        <v>0</v>
      </c>
      <c r="CN296" s="404">
        <v>0</v>
      </c>
      <c r="CO296" s="404">
        <v>51299</v>
      </c>
      <c r="CP296" s="404">
        <v>0</v>
      </c>
      <c r="CQ296" s="404">
        <v>0</v>
      </c>
      <c r="CR296" s="404">
        <v>0</v>
      </c>
    </row>
    <row r="297" spans="1:96" s="404" customFormat="1" x14ac:dyDescent="0.3">
      <c r="A297" s="404">
        <v>638</v>
      </c>
      <c r="B297" s="405">
        <v>638</v>
      </c>
      <c r="C297" s="404">
        <v>638</v>
      </c>
      <c r="D297" s="404" t="s">
        <v>738</v>
      </c>
      <c r="F297" s="404">
        <v>0</v>
      </c>
      <c r="G297" s="404">
        <v>0</v>
      </c>
      <c r="H297" s="404">
        <v>0</v>
      </c>
      <c r="I297" s="404">
        <v>0</v>
      </c>
      <c r="J297" s="404">
        <v>0</v>
      </c>
      <c r="K297" s="404">
        <v>0</v>
      </c>
      <c r="L297" s="404">
        <v>0</v>
      </c>
      <c r="M297" s="404">
        <v>0</v>
      </c>
      <c r="N297" s="404">
        <v>0</v>
      </c>
      <c r="O297" s="404">
        <v>0</v>
      </c>
      <c r="P297" s="404">
        <v>0</v>
      </c>
      <c r="Q297" s="404">
        <v>0</v>
      </c>
      <c r="R297" s="404">
        <v>0</v>
      </c>
      <c r="S297" s="404">
        <v>0</v>
      </c>
      <c r="T297" s="404">
        <v>0</v>
      </c>
      <c r="U297" s="404">
        <v>0</v>
      </c>
      <c r="V297" s="404">
        <v>0</v>
      </c>
      <c r="W297" s="404">
        <v>0</v>
      </c>
      <c r="X297" s="404">
        <v>0</v>
      </c>
      <c r="Y297" s="404">
        <v>0</v>
      </c>
      <c r="Z297" s="404">
        <v>0</v>
      </c>
      <c r="AA297" s="404">
        <v>0</v>
      </c>
      <c r="AB297" s="404">
        <v>0</v>
      </c>
      <c r="AC297" s="404">
        <v>0</v>
      </c>
      <c r="AD297" s="404">
        <v>0</v>
      </c>
      <c r="AE297" s="404">
        <v>0</v>
      </c>
      <c r="AF297" s="404">
        <v>0</v>
      </c>
      <c r="AG297" s="404">
        <v>0</v>
      </c>
      <c r="AH297" s="404">
        <v>0</v>
      </c>
      <c r="AI297" s="404">
        <v>0</v>
      </c>
      <c r="AJ297" s="404">
        <v>0</v>
      </c>
      <c r="AK297" s="404">
        <v>0</v>
      </c>
      <c r="AL297" s="404">
        <v>0</v>
      </c>
      <c r="AM297" s="404">
        <v>0</v>
      </c>
      <c r="AN297" s="404">
        <v>0</v>
      </c>
      <c r="AO297" s="404">
        <v>0</v>
      </c>
      <c r="AP297" s="404">
        <v>0</v>
      </c>
      <c r="AQ297" s="404">
        <v>0</v>
      </c>
      <c r="AR297" s="404">
        <v>0</v>
      </c>
      <c r="AS297" s="404">
        <v>0</v>
      </c>
      <c r="AT297" s="404">
        <v>0</v>
      </c>
      <c r="AU297" s="404">
        <v>0</v>
      </c>
      <c r="AV297" s="404">
        <v>0</v>
      </c>
      <c r="AW297" s="404">
        <v>0</v>
      </c>
      <c r="AX297" s="404">
        <v>0</v>
      </c>
      <c r="AY297" s="404">
        <v>0</v>
      </c>
      <c r="AZ297" s="404">
        <v>0</v>
      </c>
      <c r="BA297" s="404">
        <v>0</v>
      </c>
      <c r="BB297" s="404">
        <v>0</v>
      </c>
      <c r="BC297" s="404">
        <v>0</v>
      </c>
      <c r="BD297" s="404">
        <v>0</v>
      </c>
      <c r="BE297" s="404">
        <v>0</v>
      </c>
      <c r="BF297" s="404">
        <v>0</v>
      </c>
      <c r="BG297" s="404">
        <v>0</v>
      </c>
      <c r="BH297" s="404">
        <v>0</v>
      </c>
      <c r="BI297" s="404">
        <v>0</v>
      </c>
      <c r="BJ297" s="404">
        <v>0</v>
      </c>
      <c r="BK297" s="404">
        <v>0</v>
      </c>
      <c r="BL297" s="404">
        <v>0</v>
      </c>
      <c r="BM297" s="404">
        <v>0</v>
      </c>
      <c r="BN297" s="404">
        <v>0</v>
      </c>
      <c r="BO297" s="404">
        <v>0</v>
      </c>
      <c r="BP297" s="404">
        <v>0</v>
      </c>
      <c r="BQ297" s="404">
        <v>0</v>
      </c>
      <c r="BR297" s="404">
        <v>0</v>
      </c>
      <c r="BS297" s="404">
        <v>0</v>
      </c>
      <c r="BT297" s="404">
        <v>0</v>
      </c>
      <c r="BU297" s="404">
        <v>0</v>
      </c>
      <c r="BV297" s="404">
        <v>0</v>
      </c>
      <c r="BW297" s="404">
        <v>0</v>
      </c>
      <c r="BX297" s="404">
        <v>0</v>
      </c>
      <c r="BY297" s="404">
        <v>0</v>
      </c>
      <c r="BZ297" s="404">
        <v>0</v>
      </c>
      <c r="CA297" s="404">
        <v>0</v>
      </c>
      <c r="CB297" s="404">
        <v>0</v>
      </c>
      <c r="CC297" s="404">
        <v>0</v>
      </c>
      <c r="CD297" s="404">
        <v>0</v>
      </c>
      <c r="CE297" s="404">
        <v>0</v>
      </c>
      <c r="CF297" s="404">
        <v>0</v>
      </c>
      <c r="CG297" s="404">
        <v>0</v>
      </c>
      <c r="CH297" s="404">
        <v>0</v>
      </c>
      <c r="CI297" s="404">
        <v>0</v>
      </c>
      <c r="CJ297" s="404">
        <v>0</v>
      </c>
      <c r="CK297" s="404">
        <v>0</v>
      </c>
      <c r="CL297" s="404">
        <v>0</v>
      </c>
      <c r="CM297" s="404">
        <v>0</v>
      </c>
      <c r="CN297" s="404">
        <v>0</v>
      </c>
      <c r="CO297" s="404">
        <v>0</v>
      </c>
      <c r="CP297" s="404">
        <v>0</v>
      </c>
      <c r="CQ297" s="404">
        <v>0</v>
      </c>
      <c r="CR297" s="404">
        <v>0</v>
      </c>
    </row>
    <row r="298" spans="1:96" s="404" customFormat="1" x14ac:dyDescent="0.3">
      <c r="A298" s="404">
        <v>639</v>
      </c>
      <c r="B298" s="405">
        <v>639</v>
      </c>
      <c r="C298" s="404">
        <v>639</v>
      </c>
      <c r="D298" s="404" t="s">
        <v>739</v>
      </c>
      <c r="F298" s="404">
        <v>0</v>
      </c>
      <c r="G298" s="404">
        <v>0</v>
      </c>
      <c r="H298" s="404">
        <v>0</v>
      </c>
      <c r="I298" s="404">
        <v>0</v>
      </c>
      <c r="J298" s="404">
        <v>208693</v>
      </c>
      <c r="K298" s="404">
        <v>0</v>
      </c>
      <c r="L298" s="404">
        <v>5543144</v>
      </c>
      <c r="M298" s="404">
        <v>0</v>
      </c>
      <c r="N298" s="404">
        <v>0</v>
      </c>
      <c r="O298" s="404">
        <v>0</v>
      </c>
      <c r="P298" s="404">
        <v>0</v>
      </c>
      <c r="Q298" s="404">
        <v>0</v>
      </c>
      <c r="R298" s="404">
        <v>0</v>
      </c>
      <c r="S298" s="404">
        <v>0</v>
      </c>
      <c r="T298" s="404">
        <v>0</v>
      </c>
      <c r="U298" s="404">
        <v>0</v>
      </c>
      <c r="V298" s="404">
        <v>0</v>
      </c>
      <c r="W298" s="404">
        <v>0</v>
      </c>
      <c r="X298" s="404">
        <v>0</v>
      </c>
      <c r="Y298" s="404">
        <v>0</v>
      </c>
      <c r="Z298" s="404">
        <v>0</v>
      </c>
      <c r="AA298" s="404">
        <v>0</v>
      </c>
      <c r="AB298" s="404">
        <v>2041717</v>
      </c>
      <c r="AC298" s="404">
        <v>0</v>
      </c>
      <c r="AD298" s="404">
        <v>0</v>
      </c>
      <c r="AE298" s="404">
        <v>0</v>
      </c>
      <c r="AF298" s="404">
        <v>0</v>
      </c>
      <c r="AG298" s="404">
        <v>0</v>
      </c>
      <c r="AH298" s="404">
        <v>0</v>
      </c>
      <c r="AI298" s="404">
        <v>0</v>
      </c>
      <c r="AJ298" s="404">
        <v>0</v>
      </c>
      <c r="AK298" s="404">
        <v>0</v>
      </c>
      <c r="AL298" s="404">
        <v>0</v>
      </c>
      <c r="AM298" s="404">
        <v>0</v>
      </c>
      <c r="AN298" s="404">
        <v>0</v>
      </c>
      <c r="AO298" s="404">
        <v>0</v>
      </c>
      <c r="AP298" s="404">
        <v>0</v>
      </c>
      <c r="AQ298" s="404">
        <v>0</v>
      </c>
      <c r="AR298" s="404">
        <v>0</v>
      </c>
      <c r="AS298" s="404">
        <v>0</v>
      </c>
      <c r="AT298" s="404">
        <v>0</v>
      </c>
      <c r="AU298" s="404">
        <v>0</v>
      </c>
      <c r="AV298" s="404">
        <v>0</v>
      </c>
      <c r="AW298" s="404">
        <v>0</v>
      </c>
      <c r="AX298" s="404">
        <v>0</v>
      </c>
      <c r="AY298" s="404">
        <v>0</v>
      </c>
      <c r="AZ298" s="404">
        <v>2779811</v>
      </c>
      <c r="BA298" s="404">
        <v>0</v>
      </c>
      <c r="BB298" s="404">
        <v>0</v>
      </c>
      <c r="BC298" s="404">
        <v>0</v>
      </c>
      <c r="BD298" s="404">
        <v>0</v>
      </c>
      <c r="BE298" s="404">
        <v>0</v>
      </c>
      <c r="BF298" s="404">
        <v>12638</v>
      </c>
      <c r="BG298" s="404">
        <v>0</v>
      </c>
      <c r="BH298" s="404">
        <v>0</v>
      </c>
      <c r="BI298" s="404">
        <v>3001225</v>
      </c>
      <c r="BJ298" s="404">
        <v>0</v>
      </c>
      <c r="BK298" s="404">
        <v>0</v>
      </c>
      <c r="BL298" s="404">
        <v>0</v>
      </c>
      <c r="BM298" s="404">
        <v>850974</v>
      </c>
      <c r="BN298" s="404">
        <v>0</v>
      </c>
      <c r="BO298" s="404">
        <v>0</v>
      </c>
      <c r="BP298" s="404">
        <v>0</v>
      </c>
      <c r="BQ298" s="404">
        <v>0</v>
      </c>
      <c r="BR298" s="404">
        <v>0</v>
      </c>
      <c r="BS298" s="404">
        <v>0</v>
      </c>
      <c r="BT298" s="404">
        <v>0</v>
      </c>
      <c r="BU298" s="404">
        <v>0</v>
      </c>
      <c r="BV298" s="404">
        <v>0</v>
      </c>
      <c r="BW298" s="404">
        <v>0</v>
      </c>
      <c r="BX298" s="404">
        <v>0</v>
      </c>
      <c r="BY298" s="404">
        <v>0</v>
      </c>
      <c r="BZ298" s="404">
        <v>0</v>
      </c>
      <c r="CA298" s="404">
        <v>0</v>
      </c>
      <c r="CB298" s="404">
        <v>0</v>
      </c>
      <c r="CC298" s="404">
        <v>0</v>
      </c>
      <c r="CD298" s="404">
        <v>12040538</v>
      </c>
      <c r="CE298" s="404">
        <v>0</v>
      </c>
      <c r="CF298" s="404">
        <v>800347</v>
      </c>
      <c r="CG298" s="404">
        <v>0</v>
      </c>
      <c r="CH298" s="404">
        <v>0</v>
      </c>
      <c r="CI298" s="404">
        <v>0</v>
      </c>
      <c r="CJ298" s="404">
        <v>610272</v>
      </c>
      <c r="CK298" s="404">
        <v>0</v>
      </c>
      <c r="CL298" s="404">
        <v>0</v>
      </c>
      <c r="CM298" s="404">
        <v>0</v>
      </c>
      <c r="CN298" s="404">
        <v>0</v>
      </c>
      <c r="CO298" s="404">
        <v>0</v>
      </c>
      <c r="CP298" s="404">
        <v>0</v>
      </c>
      <c r="CQ298" s="404">
        <v>0</v>
      </c>
      <c r="CR298" s="404">
        <v>0</v>
      </c>
    </row>
    <row r="299" spans="1:96" s="404" customFormat="1" x14ac:dyDescent="0.3">
      <c r="A299" s="404">
        <v>640</v>
      </c>
      <c r="B299" s="405">
        <v>640</v>
      </c>
      <c r="C299" s="404">
        <v>640</v>
      </c>
      <c r="D299" s="404" t="s">
        <v>740</v>
      </c>
      <c r="F299" s="404">
        <v>0</v>
      </c>
      <c r="G299" s="404">
        <v>0</v>
      </c>
      <c r="H299" s="404">
        <v>0</v>
      </c>
      <c r="I299" s="404">
        <v>0</v>
      </c>
      <c r="J299" s="404">
        <v>0</v>
      </c>
      <c r="K299" s="404">
        <v>0</v>
      </c>
      <c r="L299" s="404">
        <v>0</v>
      </c>
      <c r="M299" s="404">
        <v>0</v>
      </c>
      <c r="N299" s="404">
        <v>0</v>
      </c>
      <c r="O299" s="404">
        <v>0</v>
      </c>
      <c r="P299" s="404">
        <v>0</v>
      </c>
      <c r="Q299" s="404">
        <v>0</v>
      </c>
      <c r="R299" s="404">
        <v>0</v>
      </c>
      <c r="S299" s="404">
        <v>0</v>
      </c>
      <c r="T299" s="404">
        <v>0</v>
      </c>
      <c r="U299" s="404">
        <v>0</v>
      </c>
      <c r="V299" s="404">
        <v>0</v>
      </c>
      <c r="W299" s="404">
        <v>0</v>
      </c>
      <c r="X299" s="404">
        <v>0</v>
      </c>
      <c r="Y299" s="404">
        <v>0</v>
      </c>
      <c r="Z299" s="404">
        <v>0</v>
      </c>
      <c r="AA299" s="404">
        <v>0</v>
      </c>
      <c r="AB299" s="404">
        <v>0</v>
      </c>
      <c r="AC299" s="404">
        <v>0</v>
      </c>
      <c r="AD299" s="404">
        <v>0</v>
      </c>
      <c r="AE299" s="404">
        <v>0</v>
      </c>
      <c r="AF299" s="404">
        <v>0</v>
      </c>
      <c r="AG299" s="404">
        <v>0</v>
      </c>
      <c r="AH299" s="404">
        <v>0</v>
      </c>
      <c r="AI299" s="404">
        <v>0</v>
      </c>
      <c r="AJ299" s="404">
        <v>0</v>
      </c>
      <c r="AK299" s="404">
        <v>0</v>
      </c>
      <c r="AL299" s="404">
        <v>0</v>
      </c>
      <c r="AM299" s="404">
        <v>0</v>
      </c>
      <c r="AN299" s="404">
        <v>0</v>
      </c>
      <c r="AO299" s="404">
        <v>0</v>
      </c>
      <c r="AP299" s="404">
        <v>0</v>
      </c>
      <c r="AQ299" s="404">
        <v>0</v>
      </c>
      <c r="AR299" s="404">
        <v>0</v>
      </c>
      <c r="AS299" s="404">
        <v>0</v>
      </c>
      <c r="AT299" s="404">
        <v>0</v>
      </c>
      <c r="AU299" s="404">
        <v>0</v>
      </c>
      <c r="AV299" s="404">
        <v>0</v>
      </c>
      <c r="AW299" s="404">
        <v>0</v>
      </c>
      <c r="AX299" s="404">
        <v>0</v>
      </c>
      <c r="AY299" s="404">
        <v>0</v>
      </c>
      <c r="AZ299" s="404">
        <v>0</v>
      </c>
      <c r="BA299" s="404">
        <v>0</v>
      </c>
      <c r="BB299" s="404">
        <v>0</v>
      </c>
      <c r="BC299" s="404">
        <v>0</v>
      </c>
      <c r="BD299" s="404">
        <v>0</v>
      </c>
      <c r="BE299" s="404">
        <v>0</v>
      </c>
      <c r="BF299" s="404">
        <v>0</v>
      </c>
      <c r="BG299" s="404">
        <v>0</v>
      </c>
      <c r="BH299" s="404">
        <v>0</v>
      </c>
      <c r="BI299" s="404">
        <v>0</v>
      </c>
      <c r="BJ299" s="404">
        <v>0</v>
      </c>
      <c r="BK299" s="404">
        <v>0</v>
      </c>
      <c r="BL299" s="404">
        <v>0</v>
      </c>
      <c r="BM299" s="404">
        <v>0</v>
      </c>
      <c r="BN299" s="404">
        <v>0</v>
      </c>
      <c r="BO299" s="404">
        <v>0</v>
      </c>
      <c r="BP299" s="404">
        <v>0</v>
      </c>
      <c r="BQ299" s="404">
        <v>0</v>
      </c>
      <c r="BR299" s="404">
        <v>0</v>
      </c>
      <c r="BS299" s="404">
        <v>0</v>
      </c>
      <c r="BT299" s="404">
        <v>0</v>
      </c>
      <c r="BU299" s="404">
        <v>0</v>
      </c>
      <c r="BV299" s="404">
        <v>0</v>
      </c>
      <c r="BW299" s="404">
        <v>0</v>
      </c>
      <c r="BX299" s="404">
        <v>0</v>
      </c>
      <c r="BY299" s="404">
        <v>0</v>
      </c>
      <c r="BZ299" s="404">
        <v>0</v>
      </c>
      <c r="CA299" s="404">
        <v>0</v>
      </c>
      <c r="CB299" s="404">
        <v>0</v>
      </c>
      <c r="CC299" s="404">
        <v>0</v>
      </c>
      <c r="CD299" s="404">
        <v>0</v>
      </c>
      <c r="CE299" s="404">
        <v>0</v>
      </c>
      <c r="CF299" s="404">
        <v>0</v>
      </c>
      <c r="CG299" s="404">
        <v>0</v>
      </c>
      <c r="CH299" s="404">
        <v>0</v>
      </c>
      <c r="CI299" s="404">
        <v>0</v>
      </c>
      <c r="CJ299" s="404">
        <v>0</v>
      </c>
      <c r="CK299" s="404">
        <v>0</v>
      </c>
      <c r="CL299" s="404">
        <v>0</v>
      </c>
      <c r="CM299" s="404">
        <v>0</v>
      </c>
      <c r="CN299" s="404">
        <v>0</v>
      </c>
      <c r="CO299" s="404">
        <v>0</v>
      </c>
      <c r="CP299" s="404">
        <v>0</v>
      </c>
      <c r="CQ299" s="404">
        <v>0</v>
      </c>
      <c r="CR299" s="404">
        <v>0</v>
      </c>
    </row>
    <row r="300" spans="1:96" s="404" customFormat="1" x14ac:dyDescent="0.3">
      <c r="A300" s="404">
        <v>641</v>
      </c>
      <c r="B300" s="405">
        <v>641</v>
      </c>
      <c r="C300" s="404">
        <v>641</v>
      </c>
      <c r="D300" s="404" t="s">
        <v>741</v>
      </c>
      <c r="F300" s="404">
        <v>0</v>
      </c>
      <c r="G300" s="404">
        <v>0</v>
      </c>
      <c r="H300" s="404">
        <v>0</v>
      </c>
      <c r="I300" s="404">
        <v>0</v>
      </c>
      <c r="J300" s="404">
        <v>10165</v>
      </c>
      <c r="K300" s="404">
        <v>0</v>
      </c>
      <c r="L300" s="404">
        <v>179982</v>
      </c>
      <c r="M300" s="404">
        <v>0</v>
      </c>
      <c r="N300" s="404">
        <v>0</v>
      </c>
      <c r="O300" s="404">
        <v>0</v>
      </c>
      <c r="P300" s="404">
        <v>0</v>
      </c>
      <c r="Q300" s="404">
        <v>0</v>
      </c>
      <c r="R300" s="404">
        <v>0</v>
      </c>
      <c r="S300" s="404">
        <v>0</v>
      </c>
      <c r="T300" s="404">
        <v>0</v>
      </c>
      <c r="U300" s="404">
        <v>0</v>
      </c>
      <c r="V300" s="404">
        <v>0</v>
      </c>
      <c r="W300" s="404">
        <v>0</v>
      </c>
      <c r="X300" s="404">
        <v>0</v>
      </c>
      <c r="Y300" s="404">
        <v>0</v>
      </c>
      <c r="Z300" s="404">
        <v>0</v>
      </c>
      <c r="AA300" s="404">
        <v>0</v>
      </c>
      <c r="AB300" s="404">
        <v>14228</v>
      </c>
      <c r="AC300" s="404">
        <v>0</v>
      </c>
      <c r="AD300" s="404">
        <v>0</v>
      </c>
      <c r="AE300" s="404">
        <v>0</v>
      </c>
      <c r="AF300" s="404">
        <v>0</v>
      </c>
      <c r="AG300" s="404">
        <v>0</v>
      </c>
      <c r="AH300" s="404">
        <v>0</v>
      </c>
      <c r="AI300" s="404">
        <v>0</v>
      </c>
      <c r="AJ300" s="404">
        <v>0</v>
      </c>
      <c r="AK300" s="404">
        <v>0</v>
      </c>
      <c r="AL300" s="404">
        <v>0</v>
      </c>
      <c r="AM300" s="404">
        <v>0</v>
      </c>
      <c r="AN300" s="404">
        <v>0</v>
      </c>
      <c r="AO300" s="404">
        <v>0</v>
      </c>
      <c r="AP300" s="404">
        <v>0</v>
      </c>
      <c r="AQ300" s="404">
        <v>0</v>
      </c>
      <c r="AR300" s="404">
        <v>0</v>
      </c>
      <c r="AS300" s="404">
        <v>0</v>
      </c>
      <c r="AT300" s="404">
        <v>0</v>
      </c>
      <c r="AU300" s="404">
        <v>0</v>
      </c>
      <c r="AV300" s="404">
        <v>0</v>
      </c>
      <c r="AW300" s="404">
        <v>0</v>
      </c>
      <c r="AX300" s="404">
        <v>0</v>
      </c>
      <c r="AY300" s="404">
        <v>0</v>
      </c>
      <c r="AZ300" s="404">
        <v>140050</v>
      </c>
      <c r="BA300" s="404">
        <v>0</v>
      </c>
      <c r="BB300" s="404">
        <v>0</v>
      </c>
      <c r="BC300" s="404">
        <v>0</v>
      </c>
      <c r="BD300" s="404">
        <v>0</v>
      </c>
      <c r="BE300" s="404">
        <v>0</v>
      </c>
      <c r="BF300" s="404">
        <v>0</v>
      </c>
      <c r="BG300" s="404">
        <v>0</v>
      </c>
      <c r="BH300" s="404">
        <v>0</v>
      </c>
      <c r="BI300" s="404">
        <v>123934</v>
      </c>
      <c r="BJ300" s="404">
        <v>0</v>
      </c>
      <c r="BK300" s="404">
        <v>0</v>
      </c>
      <c r="BL300" s="404">
        <v>0</v>
      </c>
      <c r="BM300" s="404">
        <v>7339</v>
      </c>
      <c r="BN300" s="404">
        <v>0</v>
      </c>
      <c r="BO300" s="404">
        <v>0</v>
      </c>
      <c r="BP300" s="404">
        <v>0</v>
      </c>
      <c r="BQ300" s="404">
        <v>0</v>
      </c>
      <c r="BR300" s="404">
        <v>0</v>
      </c>
      <c r="BS300" s="404">
        <v>0</v>
      </c>
      <c r="BT300" s="404">
        <v>0</v>
      </c>
      <c r="BU300" s="404">
        <v>0</v>
      </c>
      <c r="BV300" s="404">
        <v>0</v>
      </c>
      <c r="BW300" s="404">
        <v>0</v>
      </c>
      <c r="BX300" s="404">
        <v>0</v>
      </c>
      <c r="BY300" s="404">
        <v>0</v>
      </c>
      <c r="BZ300" s="404">
        <v>0</v>
      </c>
      <c r="CA300" s="404">
        <v>0</v>
      </c>
      <c r="CB300" s="404">
        <v>0</v>
      </c>
      <c r="CC300" s="404">
        <v>0</v>
      </c>
      <c r="CD300" s="404">
        <v>295570</v>
      </c>
      <c r="CE300" s="404">
        <v>0</v>
      </c>
      <c r="CF300" s="404">
        <v>11584</v>
      </c>
      <c r="CG300" s="404">
        <v>0</v>
      </c>
      <c r="CH300" s="404">
        <v>0</v>
      </c>
      <c r="CI300" s="404">
        <v>0</v>
      </c>
      <c r="CJ300" s="404">
        <v>22018</v>
      </c>
      <c r="CK300" s="404">
        <v>0</v>
      </c>
      <c r="CL300" s="404">
        <v>0</v>
      </c>
      <c r="CM300" s="404">
        <v>0</v>
      </c>
      <c r="CN300" s="404">
        <v>0</v>
      </c>
      <c r="CO300" s="404">
        <v>0</v>
      </c>
      <c r="CP300" s="404">
        <v>0</v>
      </c>
      <c r="CQ300" s="404">
        <v>0</v>
      </c>
      <c r="CR300" s="404">
        <v>0</v>
      </c>
    </row>
    <row r="301" spans="1:96" s="404" customFormat="1" x14ac:dyDescent="0.3">
      <c r="A301" s="404">
        <v>642</v>
      </c>
      <c r="B301" s="405">
        <v>642</v>
      </c>
      <c r="C301" s="404">
        <v>642</v>
      </c>
      <c r="D301" s="404" t="s">
        <v>742</v>
      </c>
      <c r="F301" s="404">
        <v>0</v>
      </c>
      <c r="G301" s="404">
        <v>0</v>
      </c>
      <c r="H301" s="404">
        <v>0</v>
      </c>
      <c r="I301" s="404">
        <v>0</v>
      </c>
      <c r="J301" s="404">
        <v>0</v>
      </c>
      <c r="K301" s="404">
        <v>0</v>
      </c>
      <c r="L301" s="404">
        <v>0</v>
      </c>
      <c r="M301" s="404">
        <v>0</v>
      </c>
      <c r="N301" s="404">
        <v>0</v>
      </c>
      <c r="O301" s="404">
        <v>0</v>
      </c>
      <c r="P301" s="404">
        <v>0</v>
      </c>
      <c r="Q301" s="404">
        <v>0</v>
      </c>
      <c r="R301" s="404">
        <v>0</v>
      </c>
      <c r="S301" s="404">
        <v>0</v>
      </c>
      <c r="T301" s="404">
        <v>0</v>
      </c>
      <c r="U301" s="404">
        <v>0</v>
      </c>
      <c r="V301" s="404">
        <v>0</v>
      </c>
      <c r="W301" s="404">
        <v>0</v>
      </c>
      <c r="X301" s="404">
        <v>0</v>
      </c>
      <c r="Y301" s="404">
        <v>0</v>
      </c>
      <c r="Z301" s="404">
        <v>0</v>
      </c>
      <c r="AA301" s="404">
        <v>0</v>
      </c>
      <c r="AB301" s="404">
        <v>0</v>
      </c>
      <c r="AC301" s="404">
        <v>0</v>
      </c>
      <c r="AD301" s="404">
        <v>0</v>
      </c>
      <c r="AE301" s="404">
        <v>0</v>
      </c>
      <c r="AF301" s="404">
        <v>0</v>
      </c>
      <c r="AG301" s="404">
        <v>0</v>
      </c>
      <c r="AH301" s="404">
        <v>0</v>
      </c>
      <c r="AI301" s="404">
        <v>0</v>
      </c>
      <c r="AJ301" s="404">
        <v>0</v>
      </c>
      <c r="AK301" s="404">
        <v>0</v>
      </c>
      <c r="AL301" s="404">
        <v>0</v>
      </c>
      <c r="AM301" s="404">
        <v>0</v>
      </c>
      <c r="AN301" s="404">
        <v>0</v>
      </c>
      <c r="AO301" s="404">
        <v>0</v>
      </c>
      <c r="AP301" s="404">
        <v>0</v>
      </c>
      <c r="AQ301" s="404">
        <v>0</v>
      </c>
      <c r="AR301" s="404">
        <v>0</v>
      </c>
      <c r="AS301" s="404">
        <v>0</v>
      </c>
      <c r="AT301" s="404">
        <v>0</v>
      </c>
      <c r="AU301" s="404">
        <v>0</v>
      </c>
      <c r="AV301" s="404">
        <v>0</v>
      </c>
      <c r="AW301" s="404">
        <v>0</v>
      </c>
      <c r="AX301" s="404">
        <v>0</v>
      </c>
      <c r="AY301" s="404">
        <v>0</v>
      </c>
      <c r="AZ301" s="404">
        <v>0</v>
      </c>
      <c r="BA301" s="404">
        <v>0</v>
      </c>
      <c r="BB301" s="404">
        <v>0</v>
      </c>
      <c r="BC301" s="404">
        <v>0</v>
      </c>
      <c r="BD301" s="404">
        <v>0</v>
      </c>
      <c r="BE301" s="404">
        <v>0</v>
      </c>
      <c r="BF301" s="404">
        <v>0</v>
      </c>
      <c r="BG301" s="404">
        <v>0</v>
      </c>
      <c r="BH301" s="404">
        <v>0</v>
      </c>
      <c r="BI301" s="404">
        <v>0</v>
      </c>
      <c r="BJ301" s="404">
        <v>0</v>
      </c>
      <c r="BK301" s="404">
        <v>0</v>
      </c>
      <c r="BL301" s="404">
        <v>0</v>
      </c>
      <c r="BM301" s="404">
        <v>0</v>
      </c>
      <c r="BN301" s="404">
        <v>0</v>
      </c>
      <c r="BO301" s="404">
        <v>0</v>
      </c>
      <c r="BP301" s="404">
        <v>0</v>
      </c>
      <c r="BQ301" s="404">
        <v>0</v>
      </c>
      <c r="BR301" s="404">
        <v>0</v>
      </c>
      <c r="BS301" s="404">
        <v>0</v>
      </c>
      <c r="BT301" s="404">
        <v>0</v>
      </c>
      <c r="BU301" s="404">
        <v>0</v>
      </c>
      <c r="BV301" s="404">
        <v>0</v>
      </c>
      <c r="BW301" s="404">
        <v>0</v>
      </c>
      <c r="BX301" s="404">
        <v>0</v>
      </c>
      <c r="BY301" s="404">
        <v>0</v>
      </c>
      <c r="BZ301" s="404">
        <v>0</v>
      </c>
      <c r="CA301" s="404">
        <v>0</v>
      </c>
      <c r="CB301" s="404">
        <v>0</v>
      </c>
      <c r="CC301" s="404">
        <v>0</v>
      </c>
      <c r="CD301" s="404">
        <v>0</v>
      </c>
      <c r="CE301" s="404">
        <v>0</v>
      </c>
      <c r="CF301" s="404">
        <v>0</v>
      </c>
      <c r="CG301" s="404">
        <v>0</v>
      </c>
      <c r="CH301" s="404">
        <v>0</v>
      </c>
      <c r="CI301" s="404">
        <v>0</v>
      </c>
      <c r="CJ301" s="404">
        <v>0</v>
      </c>
      <c r="CK301" s="404">
        <v>0</v>
      </c>
      <c r="CL301" s="404">
        <v>0</v>
      </c>
      <c r="CM301" s="404">
        <v>0</v>
      </c>
      <c r="CN301" s="404">
        <v>0</v>
      </c>
      <c r="CO301" s="404">
        <v>0</v>
      </c>
      <c r="CP301" s="404">
        <v>0</v>
      </c>
      <c r="CQ301" s="404">
        <v>0</v>
      </c>
      <c r="CR301" s="404">
        <v>0</v>
      </c>
    </row>
    <row r="302" spans="1:96" s="404" customFormat="1" x14ac:dyDescent="0.3">
      <c r="A302" s="404">
        <v>643</v>
      </c>
      <c r="B302" s="405">
        <v>643</v>
      </c>
      <c r="C302" s="404">
        <v>643</v>
      </c>
      <c r="D302" s="404" t="s">
        <v>743</v>
      </c>
      <c r="F302" s="404">
        <v>0</v>
      </c>
      <c r="G302" s="404">
        <v>0</v>
      </c>
      <c r="H302" s="404">
        <v>0</v>
      </c>
      <c r="I302" s="404">
        <v>0</v>
      </c>
      <c r="J302" s="404">
        <v>102825</v>
      </c>
      <c r="K302" s="404">
        <v>0</v>
      </c>
      <c r="L302" s="404">
        <v>1201856</v>
      </c>
      <c r="M302" s="404">
        <v>0</v>
      </c>
      <c r="N302" s="404">
        <v>0</v>
      </c>
      <c r="O302" s="404">
        <v>0</v>
      </c>
      <c r="P302" s="404">
        <v>0</v>
      </c>
      <c r="Q302" s="404">
        <v>0</v>
      </c>
      <c r="R302" s="404">
        <v>0</v>
      </c>
      <c r="S302" s="404">
        <v>0</v>
      </c>
      <c r="T302" s="404">
        <v>0</v>
      </c>
      <c r="U302" s="404">
        <v>0</v>
      </c>
      <c r="V302" s="404">
        <v>0</v>
      </c>
      <c r="W302" s="404">
        <v>0</v>
      </c>
      <c r="X302" s="404">
        <v>0</v>
      </c>
      <c r="Y302" s="404">
        <v>0</v>
      </c>
      <c r="Z302" s="404">
        <v>0</v>
      </c>
      <c r="AA302" s="404">
        <v>0</v>
      </c>
      <c r="AB302" s="404">
        <v>563713</v>
      </c>
      <c r="AC302" s="404">
        <v>0</v>
      </c>
      <c r="AD302" s="404">
        <v>0</v>
      </c>
      <c r="AE302" s="404">
        <v>0</v>
      </c>
      <c r="AF302" s="404">
        <v>0</v>
      </c>
      <c r="AG302" s="404">
        <v>0</v>
      </c>
      <c r="AH302" s="404">
        <v>0</v>
      </c>
      <c r="AI302" s="404">
        <v>0</v>
      </c>
      <c r="AJ302" s="404">
        <v>0</v>
      </c>
      <c r="AK302" s="404">
        <v>0</v>
      </c>
      <c r="AL302" s="404">
        <v>0</v>
      </c>
      <c r="AM302" s="404">
        <v>0</v>
      </c>
      <c r="AN302" s="404">
        <v>0</v>
      </c>
      <c r="AO302" s="404">
        <v>0</v>
      </c>
      <c r="AP302" s="404">
        <v>0</v>
      </c>
      <c r="AQ302" s="404">
        <v>0</v>
      </c>
      <c r="AR302" s="404">
        <v>0</v>
      </c>
      <c r="AS302" s="404">
        <v>0</v>
      </c>
      <c r="AT302" s="404">
        <v>0</v>
      </c>
      <c r="AU302" s="404">
        <v>0</v>
      </c>
      <c r="AV302" s="404">
        <v>0</v>
      </c>
      <c r="AW302" s="404">
        <v>0</v>
      </c>
      <c r="AX302" s="404">
        <v>0</v>
      </c>
      <c r="AY302" s="404">
        <v>0</v>
      </c>
      <c r="AZ302" s="404">
        <v>0</v>
      </c>
      <c r="BA302" s="404">
        <v>0</v>
      </c>
      <c r="BB302" s="404">
        <v>0</v>
      </c>
      <c r="BC302" s="404">
        <v>0</v>
      </c>
      <c r="BD302" s="404">
        <v>0</v>
      </c>
      <c r="BE302" s="404">
        <v>0</v>
      </c>
      <c r="BF302" s="404">
        <v>0</v>
      </c>
      <c r="BG302" s="404">
        <v>0</v>
      </c>
      <c r="BH302" s="404">
        <v>0</v>
      </c>
      <c r="BI302" s="404">
        <v>571646</v>
      </c>
      <c r="BJ302" s="404">
        <v>0</v>
      </c>
      <c r="BK302" s="404">
        <v>0</v>
      </c>
      <c r="BL302" s="404">
        <v>0</v>
      </c>
      <c r="BM302" s="404">
        <v>0</v>
      </c>
      <c r="BN302" s="404">
        <v>0</v>
      </c>
      <c r="BO302" s="404">
        <v>0</v>
      </c>
      <c r="BP302" s="404">
        <v>0</v>
      </c>
      <c r="BQ302" s="404">
        <v>0</v>
      </c>
      <c r="BR302" s="404">
        <v>0</v>
      </c>
      <c r="BS302" s="404">
        <v>0</v>
      </c>
      <c r="BT302" s="404">
        <v>0</v>
      </c>
      <c r="BU302" s="404">
        <v>0</v>
      </c>
      <c r="BV302" s="404">
        <v>0</v>
      </c>
      <c r="BW302" s="404">
        <v>0</v>
      </c>
      <c r="BX302" s="404">
        <v>0</v>
      </c>
      <c r="BY302" s="404">
        <v>0</v>
      </c>
      <c r="BZ302" s="404">
        <v>0</v>
      </c>
      <c r="CA302" s="404">
        <v>0</v>
      </c>
      <c r="CB302" s="404">
        <v>0</v>
      </c>
      <c r="CC302" s="404">
        <v>0</v>
      </c>
      <c r="CD302" s="404">
        <v>2031792</v>
      </c>
      <c r="CE302" s="404">
        <v>0</v>
      </c>
      <c r="CF302" s="404">
        <v>110605</v>
      </c>
      <c r="CG302" s="404">
        <v>0</v>
      </c>
      <c r="CH302" s="404">
        <v>0</v>
      </c>
      <c r="CI302" s="404">
        <v>0</v>
      </c>
      <c r="CJ302" s="404">
        <v>114632</v>
      </c>
      <c r="CK302" s="404">
        <v>0</v>
      </c>
      <c r="CL302" s="404">
        <v>0</v>
      </c>
      <c r="CM302" s="404">
        <v>0</v>
      </c>
      <c r="CN302" s="404">
        <v>0</v>
      </c>
      <c r="CO302" s="404">
        <v>0</v>
      </c>
      <c r="CP302" s="404">
        <v>0</v>
      </c>
      <c r="CQ302" s="404">
        <v>0</v>
      </c>
      <c r="CR302" s="404">
        <v>0</v>
      </c>
    </row>
    <row r="303" spans="1:96" s="404" customFormat="1" x14ac:dyDescent="0.3">
      <c r="A303" s="404">
        <v>644</v>
      </c>
      <c r="B303" s="405">
        <v>644</v>
      </c>
      <c r="C303" s="404">
        <v>644</v>
      </c>
      <c r="D303" s="404" t="s">
        <v>744</v>
      </c>
      <c r="F303" s="404">
        <v>0</v>
      </c>
      <c r="G303" s="404">
        <v>0</v>
      </c>
      <c r="H303" s="404">
        <v>0</v>
      </c>
      <c r="I303" s="404">
        <v>0</v>
      </c>
      <c r="J303" s="404">
        <v>0</v>
      </c>
      <c r="K303" s="404">
        <v>0</v>
      </c>
      <c r="L303" s="404">
        <v>0</v>
      </c>
      <c r="M303" s="404">
        <v>0</v>
      </c>
      <c r="N303" s="404">
        <v>0</v>
      </c>
      <c r="O303" s="404">
        <v>0</v>
      </c>
      <c r="P303" s="404">
        <v>0</v>
      </c>
      <c r="Q303" s="404">
        <v>0</v>
      </c>
      <c r="R303" s="404">
        <v>0</v>
      </c>
      <c r="S303" s="404">
        <v>0</v>
      </c>
      <c r="T303" s="404">
        <v>0</v>
      </c>
      <c r="U303" s="404">
        <v>0</v>
      </c>
      <c r="V303" s="404">
        <v>0</v>
      </c>
      <c r="W303" s="404">
        <v>0</v>
      </c>
      <c r="X303" s="404">
        <v>0</v>
      </c>
      <c r="Y303" s="404">
        <v>0</v>
      </c>
      <c r="Z303" s="404">
        <v>0</v>
      </c>
      <c r="AA303" s="404">
        <v>0</v>
      </c>
      <c r="AB303" s="404">
        <v>0</v>
      </c>
      <c r="AC303" s="404">
        <v>0</v>
      </c>
      <c r="AD303" s="404">
        <v>0</v>
      </c>
      <c r="AE303" s="404">
        <v>0</v>
      </c>
      <c r="AF303" s="404">
        <v>0</v>
      </c>
      <c r="AG303" s="404">
        <v>0</v>
      </c>
      <c r="AH303" s="404">
        <v>0</v>
      </c>
      <c r="AI303" s="404">
        <v>0</v>
      </c>
      <c r="AJ303" s="404">
        <v>0</v>
      </c>
      <c r="AK303" s="404">
        <v>0</v>
      </c>
      <c r="AL303" s="404">
        <v>0</v>
      </c>
      <c r="AM303" s="404">
        <v>0</v>
      </c>
      <c r="AN303" s="404">
        <v>0</v>
      </c>
      <c r="AO303" s="404">
        <v>0</v>
      </c>
      <c r="AP303" s="404">
        <v>0</v>
      </c>
      <c r="AQ303" s="404">
        <v>0</v>
      </c>
      <c r="AR303" s="404">
        <v>0</v>
      </c>
      <c r="AS303" s="404">
        <v>0</v>
      </c>
      <c r="AT303" s="404">
        <v>0</v>
      </c>
      <c r="AU303" s="404">
        <v>0</v>
      </c>
      <c r="AV303" s="404">
        <v>0</v>
      </c>
      <c r="AW303" s="404">
        <v>0</v>
      </c>
      <c r="AX303" s="404">
        <v>0</v>
      </c>
      <c r="AY303" s="404">
        <v>0</v>
      </c>
      <c r="AZ303" s="404">
        <v>0</v>
      </c>
      <c r="BA303" s="404">
        <v>0</v>
      </c>
      <c r="BB303" s="404">
        <v>0</v>
      </c>
      <c r="BC303" s="404">
        <v>0</v>
      </c>
      <c r="BD303" s="404">
        <v>0</v>
      </c>
      <c r="BE303" s="404">
        <v>0</v>
      </c>
      <c r="BF303" s="404">
        <v>0</v>
      </c>
      <c r="BG303" s="404">
        <v>0</v>
      </c>
      <c r="BH303" s="404">
        <v>0</v>
      </c>
      <c r="BI303" s="404">
        <v>0</v>
      </c>
      <c r="BJ303" s="404">
        <v>0</v>
      </c>
      <c r="BK303" s="404">
        <v>0</v>
      </c>
      <c r="BL303" s="404">
        <v>0</v>
      </c>
      <c r="BM303" s="404">
        <v>0</v>
      </c>
      <c r="BN303" s="404">
        <v>0</v>
      </c>
      <c r="BO303" s="404">
        <v>0</v>
      </c>
      <c r="BP303" s="404">
        <v>0</v>
      </c>
      <c r="BQ303" s="404">
        <v>0</v>
      </c>
      <c r="BR303" s="404">
        <v>0</v>
      </c>
      <c r="BS303" s="404">
        <v>0</v>
      </c>
      <c r="BT303" s="404">
        <v>0</v>
      </c>
      <c r="BU303" s="404">
        <v>0</v>
      </c>
      <c r="BV303" s="404">
        <v>0</v>
      </c>
      <c r="BW303" s="404">
        <v>0</v>
      </c>
      <c r="BX303" s="404">
        <v>0</v>
      </c>
      <c r="BY303" s="404">
        <v>0</v>
      </c>
      <c r="BZ303" s="404">
        <v>0</v>
      </c>
      <c r="CA303" s="404">
        <v>0</v>
      </c>
      <c r="CB303" s="404">
        <v>0</v>
      </c>
      <c r="CC303" s="404">
        <v>0</v>
      </c>
      <c r="CD303" s="404">
        <v>0</v>
      </c>
      <c r="CE303" s="404">
        <v>0</v>
      </c>
      <c r="CF303" s="404">
        <v>0</v>
      </c>
      <c r="CG303" s="404">
        <v>0</v>
      </c>
      <c r="CH303" s="404">
        <v>0</v>
      </c>
      <c r="CI303" s="404">
        <v>0</v>
      </c>
      <c r="CJ303" s="404">
        <v>0</v>
      </c>
      <c r="CK303" s="404">
        <v>0</v>
      </c>
      <c r="CL303" s="404">
        <v>0</v>
      </c>
      <c r="CM303" s="404">
        <v>0</v>
      </c>
      <c r="CN303" s="404">
        <v>0</v>
      </c>
      <c r="CO303" s="404">
        <v>0</v>
      </c>
      <c r="CP303" s="404">
        <v>0</v>
      </c>
      <c r="CQ303" s="404">
        <v>0</v>
      </c>
      <c r="CR303" s="404">
        <v>0</v>
      </c>
    </row>
    <row r="304" spans="1:96" s="404" customFormat="1" x14ac:dyDescent="0.3">
      <c r="A304" s="404">
        <v>645</v>
      </c>
      <c r="B304" s="405">
        <v>645</v>
      </c>
      <c r="C304" s="404">
        <v>645</v>
      </c>
      <c r="D304" s="404" t="s">
        <v>745</v>
      </c>
      <c r="F304" s="404">
        <v>111300</v>
      </c>
      <c r="G304" s="404">
        <v>4280960</v>
      </c>
      <c r="H304" s="404">
        <v>0</v>
      </c>
      <c r="I304" s="404">
        <v>0</v>
      </c>
      <c r="J304" s="404">
        <v>24000</v>
      </c>
      <c r="K304" s="404">
        <v>74798</v>
      </c>
      <c r="L304" s="404">
        <v>1048000</v>
      </c>
      <c r="M304" s="404">
        <v>230752</v>
      </c>
      <c r="N304" s="404">
        <v>0</v>
      </c>
      <c r="O304" s="404">
        <v>23500</v>
      </c>
      <c r="P304" s="404">
        <v>0</v>
      </c>
      <c r="Q304" s="404">
        <v>0</v>
      </c>
      <c r="R304" s="404">
        <v>0</v>
      </c>
      <c r="S304" s="404">
        <v>0</v>
      </c>
      <c r="T304" s="404">
        <v>868975</v>
      </c>
      <c r="U304" s="404">
        <v>445735</v>
      </c>
      <c r="V304" s="404">
        <v>0</v>
      </c>
      <c r="W304" s="404">
        <v>378472</v>
      </c>
      <c r="X304" s="404">
        <v>0</v>
      </c>
      <c r="Y304" s="404">
        <v>1361826</v>
      </c>
      <c r="Z304" s="404">
        <v>509810</v>
      </c>
      <c r="AA304" s="404">
        <v>0</v>
      </c>
      <c r="AB304" s="404">
        <v>741680</v>
      </c>
      <c r="AC304" s="404">
        <v>0</v>
      </c>
      <c r="AD304" s="404">
        <v>0</v>
      </c>
      <c r="AE304" s="404">
        <v>125413</v>
      </c>
      <c r="AF304" s="404">
        <v>325000</v>
      </c>
      <c r="AG304" s="404">
        <v>62877</v>
      </c>
      <c r="AH304" s="404">
        <v>287000</v>
      </c>
      <c r="AI304" s="404">
        <v>464050</v>
      </c>
      <c r="AJ304" s="404">
        <v>0</v>
      </c>
      <c r="AK304" s="404">
        <v>0</v>
      </c>
      <c r="AL304" s="404">
        <v>0</v>
      </c>
      <c r="AM304" s="404">
        <v>111037</v>
      </c>
      <c r="AN304" s="404">
        <v>0</v>
      </c>
      <c r="AO304" s="404">
        <v>49320</v>
      </c>
      <c r="AP304" s="404">
        <v>0</v>
      </c>
      <c r="AQ304" s="404">
        <v>0</v>
      </c>
      <c r="AR304" s="404">
        <v>0</v>
      </c>
      <c r="AS304" s="404">
        <v>0</v>
      </c>
      <c r="AT304" s="404">
        <v>128011</v>
      </c>
      <c r="AU304" s="404">
        <v>167010</v>
      </c>
      <c r="AV304" s="404">
        <v>0</v>
      </c>
      <c r="AW304" s="404">
        <v>14205</v>
      </c>
      <c r="AX304" s="404">
        <v>697303</v>
      </c>
      <c r="AY304" s="404">
        <v>67512</v>
      </c>
      <c r="AZ304" s="404">
        <v>812400</v>
      </c>
      <c r="BA304" s="404">
        <v>0</v>
      </c>
      <c r="BB304" s="404">
        <v>0</v>
      </c>
      <c r="BC304" s="404">
        <v>0</v>
      </c>
      <c r="BD304" s="404">
        <v>0</v>
      </c>
      <c r="BE304" s="404">
        <v>218064</v>
      </c>
      <c r="BF304" s="404">
        <v>25000</v>
      </c>
      <c r="BG304" s="404">
        <v>0</v>
      </c>
      <c r="BH304" s="404">
        <v>0</v>
      </c>
      <c r="BI304" s="404">
        <v>0</v>
      </c>
      <c r="BJ304" s="404">
        <v>120000</v>
      </c>
      <c r="BK304" s="404">
        <v>0</v>
      </c>
      <c r="BL304" s="404">
        <v>0</v>
      </c>
      <c r="BM304" s="404">
        <v>1559610</v>
      </c>
      <c r="BN304" s="404">
        <v>238200</v>
      </c>
      <c r="BO304" s="404">
        <v>0</v>
      </c>
      <c r="BP304" s="404">
        <v>616000</v>
      </c>
      <c r="BQ304" s="404">
        <v>0</v>
      </c>
      <c r="BR304" s="404">
        <v>744618</v>
      </c>
      <c r="BS304" s="404">
        <v>0</v>
      </c>
      <c r="BT304" s="404">
        <v>147093</v>
      </c>
      <c r="BU304" s="404">
        <v>10000</v>
      </c>
      <c r="BV304" s="404">
        <v>0</v>
      </c>
      <c r="BW304" s="404">
        <v>0</v>
      </c>
      <c r="BX304" s="404">
        <v>117764</v>
      </c>
      <c r="BY304" s="404">
        <v>320000</v>
      </c>
      <c r="BZ304" s="404">
        <v>0</v>
      </c>
      <c r="CA304" s="404">
        <v>0</v>
      </c>
      <c r="CB304" s="404">
        <v>77000</v>
      </c>
      <c r="CC304" s="404">
        <v>4376519</v>
      </c>
      <c r="CD304" s="404">
        <v>6049337</v>
      </c>
      <c r="CE304" s="404">
        <v>0</v>
      </c>
      <c r="CF304" s="404">
        <v>0</v>
      </c>
      <c r="CG304" s="404">
        <v>0</v>
      </c>
      <c r="CH304" s="404">
        <v>0</v>
      </c>
      <c r="CI304" s="404">
        <v>5430000</v>
      </c>
      <c r="CJ304" s="404">
        <v>130021</v>
      </c>
      <c r="CK304" s="404">
        <v>0</v>
      </c>
      <c r="CL304" s="404">
        <v>405347</v>
      </c>
      <c r="CM304" s="404">
        <v>45291</v>
      </c>
      <c r="CN304" s="404">
        <v>0</v>
      </c>
      <c r="CO304" s="404">
        <v>0</v>
      </c>
      <c r="CP304" s="404">
        <v>0</v>
      </c>
      <c r="CQ304" s="404">
        <v>335328</v>
      </c>
      <c r="CR304" s="404">
        <v>1910000</v>
      </c>
    </row>
    <row r="305" spans="1:96" s="404" customFormat="1" x14ac:dyDescent="0.3">
      <c r="A305" s="404">
        <v>646</v>
      </c>
      <c r="B305" s="405">
        <v>646</v>
      </c>
      <c r="C305" s="404">
        <v>646</v>
      </c>
      <c r="D305" s="404" t="s">
        <v>746</v>
      </c>
      <c r="F305" s="404">
        <v>420594</v>
      </c>
      <c r="G305" s="404">
        <v>4138319</v>
      </c>
      <c r="H305" s="404">
        <v>796254</v>
      </c>
      <c r="I305" s="404">
        <v>1145072</v>
      </c>
      <c r="J305" s="404">
        <v>400083</v>
      </c>
      <c r="K305" s="404">
        <v>672084</v>
      </c>
      <c r="L305" s="404">
        <v>17793082</v>
      </c>
      <c r="M305" s="404">
        <v>219194</v>
      </c>
      <c r="N305" s="404">
        <v>246971</v>
      </c>
      <c r="O305" s="404">
        <v>2891302</v>
      </c>
      <c r="P305" s="404">
        <v>562611</v>
      </c>
      <c r="Q305" s="404">
        <v>0</v>
      </c>
      <c r="R305" s="404">
        <v>281293</v>
      </c>
      <c r="S305" s="404">
        <v>1147370</v>
      </c>
      <c r="T305" s="404">
        <v>5997642</v>
      </c>
      <c r="U305" s="404">
        <v>6529539</v>
      </c>
      <c r="V305" s="404">
        <v>5532838</v>
      </c>
      <c r="W305" s="404">
        <v>2229423</v>
      </c>
      <c r="X305" s="404">
        <v>2909690</v>
      </c>
      <c r="Y305" s="404">
        <v>3648708</v>
      </c>
      <c r="Z305" s="404">
        <v>1348947</v>
      </c>
      <c r="AA305" s="404">
        <v>58723</v>
      </c>
      <c r="AB305" s="404">
        <v>1600434</v>
      </c>
      <c r="AC305" s="404">
        <v>847476</v>
      </c>
      <c r="AD305" s="404">
        <v>510220</v>
      </c>
      <c r="AE305" s="404">
        <v>576976</v>
      </c>
      <c r="AF305" s="404">
        <v>5816107</v>
      </c>
      <c r="AG305" s="404">
        <v>1256380</v>
      </c>
      <c r="AH305" s="404">
        <v>1541274</v>
      </c>
      <c r="AI305" s="404">
        <v>1428760</v>
      </c>
      <c r="AJ305" s="404">
        <v>495923</v>
      </c>
      <c r="AK305" s="404">
        <v>6409043</v>
      </c>
      <c r="AL305" s="404">
        <v>2640631</v>
      </c>
      <c r="AM305" s="404">
        <v>442773</v>
      </c>
      <c r="AN305" s="404">
        <v>1279507</v>
      </c>
      <c r="AO305" s="404">
        <v>44706</v>
      </c>
      <c r="AP305" s="404">
        <v>3062419</v>
      </c>
      <c r="AQ305" s="404">
        <v>0</v>
      </c>
      <c r="AR305" s="404">
        <v>0</v>
      </c>
      <c r="AS305" s="404">
        <v>372858</v>
      </c>
      <c r="AT305" s="404">
        <v>1455442</v>
      </c>
      <c r="AU305" s="404">
        <v>226015</v>
      </c>
      <c r="AV305" s="404">
        <v>61561</v>
      </c>
      <c r="AW305" s="404">
        <v>100996</v>
      </c>
      <c r="AX305" s="404">
        <v>2037095</v>
      </c>
      <c r="AY305" s="404">
        <v>529205</v>
      </c>
      <c r="AZ305" s="404">
        <v>10771209</v>
      </c>
      <c r="BA305" s="404">
        <v>4013621</v>
      </c>
      <c r="BB305" s="404">
        <v>2168120</v>
      </c>
      <c r="BC305" s="404">
        <v>2860750</v>
      </c>
      <c r="BD305" s="404">
        <v>1238135</v>
      </c>
      <c r="BE305" s="404">
        <v>115924</v>
      </c>
      <c r="BF305" s="404">
        <v>192205</v>
      </c>
      <c r="BG305" s="404">
        <v>0</v>
      </c>
      <c r="BH305" s="404">
        <v>2135309</v>
      </c>
      <c r="BI305" s="404">
        <v>2694758</v>
      </c>
      <c r="BJ305" s="404">
        <v>233208</v>
      </c>
      <c r="BK305" s="404">
        <v>240067</v>
      </c>
      <c r="BL305" s="404">
        <v>6908840</v>
      </c>
      <c r="BM305" s="404">
        <v>6935967</v>
      </c>
      <c r="BN305" s="404">
        <v>6381593</v>
      </c>
      <c r="BO305" s="404">
        <v>125567</v>
      </c>
      <c r="BP305" s="404">
        <v>2655813</v>
      </c>
      <c r="BQ305" s="404">
        <v>1549986</v>
      </c>
      <c r="BR305" s="404">
        <v>6530136</v>
      </c>
      <c r="BS305" s="404">
        <v>1490423</v>
      </c>
      <c r="BT305" s="404">
        <v>1355027</v>
      </c>
      <c r="BU305" s="404">
        <v>1641009</v>
      </c>
      <c r="BV305" s="404">
        <v>1351569</v>
      </c>
      <c r="BW305" s="404">
        <v>0</v>
      </c>
      <c r="BX305" s="404">
        <v>423436</v>
      </c>
      <c r="BY305" s="404">
        <v>2242933</v>
      </c>
      <c r="BZ305" s="404">
        <v>600946</v>
      </c>
      <c r="CA305" s="404">
        <v>0</v>
      </c>
      <c r="CB305" s="404">
        <v>3509550</v>
      </c>
      <c r="CC305" s="404">
        <v>44267810</v>
      </c>
      <c r="CD305" s="404">
        <v>12141895</v>
      </c>
      <c r="CE305" s="404">
        <v>1194249</v>
      </c>
      <c r="CF305" s="404">
        <v>1188323</v>
      </c>
      <c r="CG305" s="404">
        <v>170836</v>
      </c>
      <c r="CH305" s="404">
        <v>1081609</v>
      </c>
      <c r="CI305" s="404">
        <v>21544816</v>
      </c>
      <c r="CJ305" s="404">
        <v>7102605</v>
      </c>
      <c r="CK305" s="404">
        <v>1079801</v>
      </c>
      <c r="CL305" s="404">
        <v>2264213</v>
      </c>
      <c r="CM305" s="404">
        <v>843057</v>
      </c>
      <c r="CN305" s="404">
        <v>12730439</v>
      </c>
      <c r="CO305" s="404">
        <v>2814487</v>
      </c>
      <c r="CP305" s="404">
        <v>1668136</v>
      </c>
      <c r="CQ305" s="404">
        <v>2214807</v>
      </c>
      <c r="CR305" s="404">
        <v>7278553</v>
      </c>
    </row>
    <row r="306" spans="1:96" s="404" customFormat="1" x14ac:dyDescent="0.3">
      <c r="A306" s="404">
        <v>647</v>
      </c>
      <c r="B306" s="405">
        <v>647</v>
      </c>
      <c r="C306" s="404">
        <v>647</v>
      </c>
      <c r="D306" s="404" t="s">
        <v>747</v>
      </c>
      <c r="F306" s="404">
        <v>0</v>
      </c>
      <c r="G306" s="404">
        <v>0</v>
      </c>
      <c r="H306" s="404">
        <v>0</v>
      </c>
      <c r="I306" s="404">
        <v>0</v>
      </c>
      <c r="J306" s="404">
        <v>0</v>
      </c>
      <c r="K306" s="404">
        <v>0</v>
      </c>
      <c r="L306" s="404">
        <v>0</v>
      </c>
      <c r="M306" s="404">
        <v>0</v>
      </c>
      <c r="N306" s="404">
        <v>0</v>
      </c>
      <c r="O306" s="404">
        <v>0</v>
      </c>
      <c r="P306" s="404">
        <v>0</v>
      </c>
      <c r="Q306" s="404">
        <v>0</v>
      </c>
      <c r="R306" s="404">
        <v>0</v>
      </c>
      <c r="S306" s="404">
        <v>0</v>
      </c>
      <c r="T306" s="404">
        <v>0</v>
      </c>
      <c r="U306" s="404">
        <v>0</v>
      </c>
      <c r="V306" s="404">
        <v>0</v>
      </c>
      <c r="W306" s="404">
        <v>0</v>
      </c>
      <c r="X306" s="404">
        <v>0</v>
      </c>
      <c r="Y306" s="404">
        <v>0</v>
      </c>
      <c r="Z306" s="404">
        <v>0</v>
      </c>
      <c r="AA306" s="404">
        <v>0</v>
      </c>
      <c r="AB306" s="404">
        <v>0</v>
      </c>
      <c r="AC306" s="404">
        <v>0</v>
      </c>
      <c r="AD306" s="404">
        <v>0</v>
      </c>
      <c r="AE306" s="404">
        <v>0</v>
      </c>
      <c r="AF306" s="404">
        <v>0</v>
      </c>
      <c r="AG306" s="404">
        <v>0</v>
      </c>
      <c r="AH306" s="404">
        <v>0</v>
      </c>
      <c r="AI306" s="404">
        <v>0</v>
      </c>
      <c r="AJ306" s="404">
        <v>0</v>
      </c>
      <c r="AK306" s="404">
        <v>0</v>
      </c>
      <c r="AL306" s="404">
        <v>0</v>
      </c>
      <c r="AM306" s="404">
        <v>0</v>
      </c>
      <c r="AN306" s="404">
        <v>0</v>
      </c>
      <c r="AO306" s="404">
        <v>0</v>
      </c>
      <c r="AP306" s="404">
        <v>0</v>
      </c>
      <c r="AQ306" s="404">
        <v>0</v>
      </c>
      <c r="AR306" s="404">
        <v>0</v>
      </c>
      <c r="AS306" s="404">
        <v>0</v>
      </c>
      <c r="AT306" s="404">
        <v>0</v>
      </c>
      <c r="AU306" s="404">
        <v>0</v>
      </c>
      <c r="AV306" s="404">
        <v>0</v>
      </c>
      <c r="AW306" s="404">
        <v>0</v>
      </c>
      <c r="AX306" s="404">
        <v>0</v>
      </c>
      <c r="AY306" s="404">
        <v>0</v>
      </c>
      <c r="AZ306" s="404">
        <v>108054</v>
      </c>
      <c r="BA306" s="404">
        <v>0</v>
      </c>
      <c r="BB306" s="404">
        <v>0</v>
      </c>
      <c r="BC306" s="404">
        <v>0</v>
      </c>
      <c r="BD306" s="404">
        <v>0</v>
      </c>
      <c r="BE306" s="404">
        <v>0</v>
      </c>
      <c r="BF306" s="404">
        <v>0</v>
      </c>
      <c r="BG306" s="404">
        <v>0</v>
      </c>
      <c r="BH306" s="404">
        <v>0</v>
      </c>
      <c r="BI306" s="404">
        <v>0</v>
      </c>
      <c r="BJ306" s="404">
        <v>0</v>
      </c>
      <c r="BK306" s="404">
        <v>0</v>
      </c>
      <c r="BL306" s="404">
        <v>0</v>
      </c>
      <c r="BM306" s="404">
        <v>0</v>
      </c>
      <c r="BN306" s="404">
        <v>0</v>
      </c>
      <c r="BO306" s="404">
        <v>0</v>
      </c>
      <c r="BP306" s="404">
        <v>0</v>
      </c>
      <c r="BQ306" s="404">
        <v>0</v>
      </c>
      <c r="BR306" s="404">
        <v>0</v>
      </c>
      <c r="BS306" s="404">
        <v>0</v>
      </c>
      <c r="BT306" s="404">
        <v>0</v>
      </c>
      <c r="BU306" s="404">
        <v>0</v>
      </c>
      <c r="BV306" s="404">
        <v>0</v>
      </c>
      <c r="BW306" s="404">
        <v>0</v>
      </c>
      <c r="BX306" s="404">
        <v>0</v>
      </c>
      <c r="BY306" s="404">
        <v>0</v>
      </c>
      <c r="BZ306" s="404">
        <v>0</v>
      </c>
      <c r="CA306" s="404">
        <v>0</v>
      </c>
      <c r="CB306" s="404">
        <v>0</v>
      </c>
      <c r="CC306" s="404">
        <v>26244936</v>
      </c>
      <c r="CD306" s="404">
        <v>0</v>
      </c>
      <c r="CE306" s="404">
        <v>0</v>
      </c>
      <c r="CF306" s="404">
        <v>0</v>
      </c>
      <c r="CG306" s="404">
        <v>0</v>
      </c>
      <c r="CH306" s="404">
        <v>0</v>
      </c>
      <c r="CI306" s="404">
        <v>33449214</v>
      </c>
      <c r="CJ306" s="404">
        <v>0</v>
      </c>
      <c r="CK306" s="404">
        <v>0</v>
      </c>
      <c r="CL306" s="404">
        <v>0</v>
      </c>
      <c r="CM306" s="404">
        <v>0</v>
      </c>
      <c r="CN306" s="404">
        <v>0</v>
      </c>
      <c r="CO306" s="404">
        <v>0</v>
      </c>
      <c r="CP306" s="404">
        <v>0</v>
      </c>
      <c r="CQ306" s="404">
        <v>0</v>
      </c>
      <c r="CR306" s="404">
        <v>0</v>
      </c>
    </row>
    <row r="307" spans="1:96" s="404" customFormat="1" x14ac:dyDescent="0.3">
      <c r="A307" s="404">
        <v>654</v>
      </c>
      <c r="B307" s="405">
        <v>654</v>
      </c>
      <c r="C307" s="404">
        <v>654</v>
      </c>
      <c r="D307" s="404" t="s">
        <v>806</v>
      </c>
      <c r="F307" s="404">
        <v>0</v>
      </c>
      <c r="G307" s="404">
        <v>0</v>
      </c>
      <c r="H307" s="404">
        <v>688295</v>
      </c>
      <c r="I307" s="404">
        <v>1509139</v>
      </c>
      <c r="J307" s="404">
        <v>2275695</v>
      </c>
      <c r="K307" s="404">
        <v>166506</v>
      </c>
      <c r="L307" s="404">
        <v>19847637</v>
      </c>
      <c r="M307" s="404">
        <v>767012</v>
      </c>
      <c r="N307" s="404">
        <v>0</v>
      </c>
      <c r="O307" s="404">
        <v>1566659</v>
      </c>
      <c r="P307" s="404">
        <v>228219</v>
      </c>
      <c r="Q307" s="404">
        <v>0</v>
      </c>
      <c r="R307" s="404">
        <v>350076</v>
      </c>
      <c r="S307" s="404">
        <v>0</v>
      </c>
      <c r="T307" s="404">
        <v>0</v>
      </c>
      <c r="U307" s="404">
        <v>0</v>
      </c>
      <c r="V307" s="404">
        <v>6399768</v>
      </c>
      <c r="W307" s="404">
        <v>0</v>
      </c>
      <c r="X307" s="404">
        <v>2750961</v>
      </c>
      <c r="Y307" s="404">
        <v>0</v>
      </c>
      <c r="Z307" s="404">
        <v>3008460</v>
      </c>
      <c r="AA307" s="404">
        <v>0</v>
      </c>
      <c r="AB307" s="404">
        <v>3298628</v>
      </c>
      <c r="AC307" s="404">
        <v>2701481</v>
      </c>
      <c r="AD307" s="404">
        <v>189251</v>
      </c>
      <c r="AE307" s="404">
        <v>234316</v>
      </c>
      <c r="AF307" s="404">
        <v>13410461</v>
      </c>
      <c r="AG307" s="404">
        <v>0</v>
      </c>
      <c r="AH307" s="404">
        <v>2080031</v>
      </c>
      <c r="AI307" s="404">
        <v>0</v>
      </c>
      <c r="AJ307" s="404">
        <v>507369</v>
      </c>
      <c r="AK307" s="404">
        <v>2077419</v>
      </c>
      <c r="AL307" s="404">
        <v>1669870</v>
      </c>
      <c r="AM307" s="404">
        <v>1458572</v>
      </c>
      <c r="AN307" s="404">
        <v>891039</v>
      </c>
      <c r="AO307" s="404">
        <v>66838</v>
      </c>
      <c r="AP307" s="404">
        <v>0</v>
      </c>
      <c r="AQ307" s="404">
        <v>1714172</v>
      </c>
      <c r="AR307" s="404">
        <v>0</v>
      </c>
      <c r="AS307" s="404">
        <v>0</v>
      </c>
      <c r="AT307" s="404">
        <v>0</v>
      </c>
      <c r="AU307" s="404">
        <v>0</v>
      </c>
      <c r="AV307" s="404">
        <v>0</v>
      </c>
      <c r="AW307" s="404">
        <v>214614</v>
      </c>
      <c r="AX307" s="404">
        <v>3331706</v>
      </c>
      <c r="AY307" s="404">
        <v>461087</v>
      </c>
      <c r="AZ307" s="404">
        <v>0</v>
      </c>
      <c r="BA307" s="404">
        <v>456225</v>
      </c>
      <c r="BB307" s="404">
        <v>3598046</v>
      </c>
      <c r="BC307" s="404">
        <v>0</v>
      </c>
      <c r="BD307" s="404">
        <v>1764802</v>
      </c>
      <c r="BE307" s="404">
        <v>1185047</v>
      </c>
      <c r="BF307" s="404">
        <v>171545</v>
      </c>
      <c r="BG307" s="404">
        <v>994021</v>
      </c>
      <c r="BH307" s="404">
        <v>2685115</v>
      </c>
      <c r="BI307" s="404">
        <v>7830610</v>
      </c>
      <c r="BJ307" s="404">
        <v>0</v>
      </c>
      <c r="BK307" s="404">
        <v>0</v>
      </c>
      <c r="BL307" s="404">
        <v>0</v>
      </c>
      <c r="BM307" s="404">
        <v>5403428</v>
      </c>
      <c r="BN307" s="404">
        <v>6173320</v>
      </c>
      <c r="BO307" s="404">
        <v>0</v>
      </c>
      <c r="BP307" s="404">
        <v>0</v>
      </c>
      <c r="BQ307" s="404">
        <v>2536096</v>
      </c>
      <c r="BR307" s="404">
        <v>0</v>
      </c>
      <c r="BS307" s="404">
        <v>0</v>
      </c>
      <c r="BT307" s="404">
        <v>0</v>
      </c>
      <c r="BU307" s="404">
        <v>1146960</v>
      </c>
      <c r="BV307" s="404">
        <v>0</v>
      </c>
      <c r="BW307" s="404">
        <v>0</v>
      </c>
      <c r="BX307" s="404">
        <v>2386384</v>
      </c>
      <c r="BY307" s="404">
        <v>3119207</v>
      </c>
      <c r="BZ307" s="404">
        <v>82658</v>
      </c>
      <c r="CA307" s="404">
        <v>0</v>
      </c>
      <c r="CB307" s="404">
        <v>7981628</v>
      </c>
      <c r="CC307" s="404">
        <v>0</v>
      </c>
      <c r="CD307" s="404">
        <v>21464522</v>
      </c>
      <c r="CE307" s="404">
        <v>40995</v>
      </c>
      <c r="CF307" s="404">
        <v>7807545</v>
      </c>
      <c r="CG307" s="404">
        <v>105990</v>
      </c>
      <c r="CH307" s="404">
        <v>1300639</v>
      </c>
      <c r="CI307" s="404">
        <v>94355028</v>
      </c>
      <c r="CJ307" s="404">
        <v>3118190</v>
      </c>
      <c r="CK307" s="404">
        <v>1209977</v>
      </c>
      <c r="CL307" s="404">
        <v>0</v>
      </c>
      <c r="CM307" s="404">
        <v>624259</v>
      </c>
      <c r="CN307" s="404">
        <v>8456125</v>
      </c>
      <c r="CO307" s="404">
        <v>3776805</v>
      </c>
      <c r="CP307" s="404">
        <v>2475715</v>
      </c>
      <c r="CQ307" s="404">
        <v>0</v>
      </c>
      <c r="CR307" s="404">
        <v>0</v>
      </c>
    </row>
    <row r="308" spans="1:96" s="404" customFormat="1" x14ac:dyDescent="0.3">
      <c r="A308" s="404">
        <v>655</v>
      </c>
      <c r="B308" s="405">
        <v>655</v>
      </c>
      <c r="C308" s="404">
        <v>655</v>
      </c>
      <c r="D308" s="404" t="s">
        <v>847</v>
      </c>
      <c r="F308" s="404">
        <v>0</v>
      </c>
      <c r="G308" s="404">
        <v>0</v>
      </c>
      <c r="H308" s="404">
        <v>0</v>
      </c>
      <c r="I308" s="404">
        <v>235950</v>
      </c>
      <c r="J308" s="404">
        <v>91641</v>
      </c>
      <c r="K308" s="404">
        <v>1950</v>
      </c>
      <c r="L308" s="404">
        <v>0</v>
      </c>
      <c r="M308" s="404">
        <v>19819</v>
      </c>
      <c r="N308" s="404">
        <v>0</v>
      </c>
      <c r="O308" s="404">
        <v>29775</v>
      </c>
      <c r="P308" s="404">
        <v>7395</v>
      </c>
      <c r="Q308" s="404">
        <v>0</v>
      </c>
      <c r="R308" s="404">
        <v>262372</v>
      </c>
      <c r="S308" s="404">
        <v>0</v>
      </c>
      <c r="T308" s="404">
        <v>0</v>
      </c>
      <c r="U308" s="404">
        <v>0</v>
      </c>
      <c r="V308" s="404">
        <v>440420</v>
      </c>
      <c r="W308" s="404">
        <v>0</v>
      </c>
      <c r="X308" s="404">
        <v>93591</v>
      </c>
      <c r="Y308" s="404">
        <v>0</v>
      </c>
      <c r="Z308" s="404">
        <v>721347</v>
      </c>
      <c r="AA308" s="404">
        <v>0</v>
      </c>
      <c r="AB308" s="404">
        <v>426644</v>
      </c>
      <c r="AC308" s="404">
        <v>4108</v>
      </c>
      <c r="AD308" s="404">
        <v>0</v>
      </c>
      <c r="AE308" s="404">
        <v>5431</v>
      </c>
      <c r="AF308" s="404">
        <v>425546</v>
      </c>
      <c r="AG308" s="404">
        <v>0</v>
      </c>
      <c r="AH308" s="404">
        <v>83006</v>
      </c>
      <c r="AI308" s="404">
        <v>0</v>
      </c>
      <c r="AJ308" s="404">
        <v>2736</v>
      </c>
      <c r="AK308" s="404">
        <v>0</v>
      </c>
      <c r="AL308" s="404">
        <v>0</v>
      </c>
      <c r="AM308" s="404">
        <v>506794</v>
      </c>
      <c r="AN308" s="404">
        <v>130973</v>
      </c>
      <c r="AO308" s="404">
        <v>2905</v>
      </c>
      <c r="AP308" s="404">
        <v>0</v>
      </c>
      <c r="AQ308" s="404">
        <v>76781</v>
      </c>
      <c r="AR308" s="404">
        <v>0</v>
      </c>
      <c r="AS308" s="404">
        <v>0</v>
      </c>
      <c r="AT308" s="404">
        <v>0</v>
      </c>
      <c r="AU308" s="404">
        <v>0</v>
      </c>
      <c r="AV308" s="404">
        <v>0</v>
      </c>
      <c r="AW308" s="404">
        <v>17468</v>
      </c>
      <c r="AX308" s="404">
        <v>306795</v>
      </c>
      <c r="AY308" s="404">
        <v>25412</v>
      </c>
      <c r="AZ308" s="404">
        <v>0</v>
      </c>
      <c r="BA308" s="404">
        <v>0</v>
      </c>
      <c r="BB308" s="404">
        <v>514757</v>
      </c>
      <c r="BC308" s="404">
        <v>0</v>
      </c>
      <c r="BD308" s="404">
        <v>30852</v>
      </c>
      <c r="BE308" s="404">
        <v>12800</v>
      </c>
      <c r="BF308" s="404">
        <v>10850</v>
      </c>
      <c r="BG308" s="404">
        <v>105014</v>
      </c>
      <c r="BH308" s="404">
        <v>425464</v>
      </c>
      <c r="BI308" s="404">
        <v>60989</v>
      </c>
      <c r="BJ308" s="404">
        <v>0</v>
      </c>
      <c r="BK308" s="404">
        <v>0</v>
      </c>
      <c r="BL308" s="404">
        <v>0</v>
      </c>
      <c r="BM308" s="404">
        <v>89567</v>
      </c>
      <c r="BN308" s="404">
        <v>2306084</v>
      </c>
      <c r="BO308" s="404">
        <v>0</v>
      </c>
      <c r="BP308" s="404">
        <v>0</v>
      </c>
      <c r="BQ308" s="404">
        <v>48782</v>
      </c>
      <c r="BR308" s="404">
        <v>0</v>
      </c>
      <c r="BS308" s="404">
        <v>0</v>
      </c>
      <c r="BT308" s="404">
        <v>0</v>
      </c>
      <c r="BU308" s="404">
        <v>49576</v>
      </c>
      <c r="BV308" s="404">
        <v>0</v>
      </c>
      <c r="BW308" s="404">
        <v>0</v>
      </c>
      <c r="BX308" s="404">
        <v>149690</v>
      </c>
      <c r="BY308" s="404">
        <v>166773</v>
      </c>
      <c r="BZ308" s="404">
        <v>1293</v>
      </c>
      <c r="CA308" s="404">
        <v>0</v>
      </c>
      <c r="CB308" s="404">
        <v>158501</v>
      </c>
      <c r="CC308" s="404">
        <v>0</v>
      </c>
      <c r="CD308" s="404">
        <v>0</v>
      </c>
      <c r="CE308" s="404">
        <v>0</v>
      </c>
      <c r="CF308" s="404">
        <v>0</v>
      </c>
      <c r="CG308" s="404">
        <v>42145</v>
      </c>
      <c r="CH308" s="404">
        <v>107019</v>
      </c>
      <c r="CI308" s="404">
        <v>0</v>
      </c>
      <c r="CJ308" s="404">
        <v>258799</v>
      </c>
      <c r="CK308" s="404">
        <v>142265</v>
      </c>
      <c r="CL308" s="404">
        <v>0</v>
      </c>
      <c r="CM308" s="404">
        <v>252005</v>
      </c>
      <c r="CN308" s="404">
        <v>0</v>
      </c>
      <c r="CO308" s="404">
        <v>51299</v>
      </c>
      <c r="CP308" s="404">
        <v>1890</v>
      </c>
      <c r="CQ308" s="404">
        <v>0</v>
      </c>
      <c r="CR308" s="404">
        <v>0</v>
      </c>
    </row>
    <row r="309" spans="1:96" s="404" customFormat="1" x14ac:dyDescent="0.3">
      <c r="A309" s="404">
        <v>656</v>
      </c>
      <c r="B309" s="405">
        <v>656</v>
      </c>
      <c r="C309" s="404">
        <v>656</v>
      </c>
      <c r="D309" s="404" t="s">
        <v>814</v>
      </c>
      <c r="F309" s="404">
        <v>0</v>
      </c>
      <c r="G309" s="404">
        <v>2</v>
      </c>
      <c r="H309" s="404">
        <v>2</v>
      </c>
      <c r="I309" s="404">
        <v>2</v>
      </c>
      <c r="J309" s="404">
        <v>0</v>
      </c>
      <c r="K309" s="404">
        <v>0</v>
      </c>
      <c r="L309" s="404">
        <v>2</v>
      </c>
      <c r="M309" s="404">
        <v>2</v>
      </c>
      <c r="N309" s="404">
        <v>0</v>
      </c>
      <c r="O309" s="404">
        <v>2</v>
      </c>
      <c r="P309" s="404">
        <v>0</v>
      </c>
      <c r="Q309" s="404">
        <v>0</v>
      </c>
      <c r="R309" s="404">
        <v>0</v>
      </c>
      <c r="S309" s="404">
        <v>1</v>
      </c>
      <c r="T309" s="404">
        <v>0</v>
      </c>
      <c r="U309" s="404">
        <v>2</v>
      </c>
      <c r="V309" s="404">
        <v>2</v>
      </c>
      <c r="W309" s="404">
        <v>2</v>
      </c>
      <c r="X309" s="404">
        <v>2</v>
      </c>
      <c r="Y309" s="404">
        <v>0</v>
      </c>
      <c r="Z309" s="404">
        <v>0</v>
      </c>
      <c r="AA309" s="404">
        <v>2</v>
      </c>
      <c r="AB309" s="404">
        <v>0</v>
      </c>
      <c r="AC309" s="404">
        <v>0</v>
      </c>
      <c r="AD309" s="404">
        <v>2</v>
      </c>
      <c r="AE309" s="404">
        <v>2</v>
      </c>
      <c r="AF309" s="404">
        <v>2</v>
      </c>
      <c r="AG309" s="404">
        <v>2</v>
      </c>
      <c r="AH309" s="404">
        <v>0</v>
      </c>
      <c r="AI309" s="404">
        <v>0</v>
      </c>
      <c r="AJ309" s="404">
        <v>2</v>
      </c>
      <c r="AK309" s="404">
        <v>2</v>
      </c>
      <c r="AL309" s="404">
        <v>0</v>
      </c>
      <c r="AM309" s="404">
        <v>2</v>
      </c>
      <c r="AN309" s="404">
        <v>2</v>
      </c>
      <c r="AO309" s="404">
        <v>2</v>
      </c>
      <c r="AP309" s="404">
        <v>2</v>
      </c>
      <c r="AQ309" s="404">
        <v>0</v>
      </c>
      <c r="AR309" s="404">
        <v>0</v>
      </c>
      <c r="AS309" s="404">
        <v>2</v>
      </c>
      <c r="AT309" s="404">
        <v>0</v>
      </c>
      <c r="AU309" s="404">
        <v>2</v>
      </c>
      <c r="AV309" s="404">
        <v>2</v>
      </c>
      <c r="AW309" s="404">
        <v>2</v>
      </c>
      <c r="AX309" s="404">
        <v>2</v>
      </c>
      <c r="AY309" s="404">
        <v>0</v>
      </c>
      <c r="AZ309" s="404">
        <v>2</v>
      </c>
      <c r="BA309" s="404">
        <v>2</v>
      </c>
      <c r="BB309" s="404">
        <v>2</v>
      </c>
      <c r="BC309" s="404">
        <v>2</v>
      </c>
      <c r="BD309" s="404">
        <v>2</v>
      </c>
      <c r="BE309" s="404">
        <v>2</v>
      </c>
      <c r="BF309" s="404">
        <v>2</v>
      </c>
      <c r="BG309" s="404">
        <v>2</v>
      </c>
      <c r="BH309" s="404">
        <v>2</v>
      </c>
      <c r="BI309" s="404">
        <v>2</v>
      </c>
      <c r="BJ309" s="404">
        <v>0</v>
      </c>
      <c r="BK309" s="404">
        <v>2</v>
      </c>
      <c r="BL309" s="404">
        <v>2</v>
      </c>
      <c r="BM309" s="404">
        <v>0</v>
      </c>
      <c r="BN309" s="404">
        <v>2</v>
      </c>
      <c r="BO309" s="404">
        <v>2</v>
      </c>
      <c r="BP309" s="404">
        <v>0</v>
      </c>
      <c r="BQ309" s="404">
        <v>2</v>
      </c>
      <c r="BR309" s="404">
        <v>0</v>
      </c>
      <c r="BS309" s="404">
        <v>2</v>
      </c>
      <c r="BT309" s="404">
        <v>0</v>
      </c>
      <c r="BU309" s="404">
        <v>2</v>
      </c>
      <c r="BV309" s="404">
        <v>0</v>
      </c>
      <c r="BW309" s="404">
        <v>0</v>
      </c>
      <c r="BX309" s="404">
        <v>2</v>
      </c>
      <c r="BY309" s="404">
        <v>0</v>
      </c>
      <c r="BZ309" s="404">
        <v>2</v>
      </c>
      <c r="CA309" s="404">
        <v>0</v>
      </c>
      <c r="CB309" s="404">
        <v>2</v>
      </c>
      <c r="CC309" s="404">
        <v>0</v>
      </c>
      <c r="CD309" s="404">
        <v>2</v>
      </c>
      <c r="CE309" s="404">
        <v>2</v>
      </c>
      <c r="CF309" s="404">
        <v>0</v>
      </c>
      <c r="CG309" s="404">
        <v>2</v>
      </c>
      <c r="CH309" s="404">
        <v>2</v>
      </c>
      <c r="CI309" s="404">
        <v>2</v>
      </c>
      <c r="CJ309" s="404">
        <v>2</v>
      </c>
      <c r="CK309" s="404">
        <v>0</v>
      </c>
      <c r="CL309" s="404">
        <v>2</v>
      </c>
      <c r="CM309" s="404">
        <v>2</v>
      </c>
      <c r="CN309" s="404">
        <v>0</v>
      </c>
      <c r="CO309" s="404">
        <v>2</v>
      </c>
      <c r="CP309" s="404">
        <v>2</v>
      </c>
      <c r="CQ309" s="404">
        <v>2</v>
      </c>
      <c r="CR309" s="404">
        <v>2</v>
      </c>
    </row>
    <row r="310" spans="1:96" s="404" customFormat="1" x14ac:dyDescent="0.3">
      <c r="A310" s="404">
        <v>657</v>
      </c>
      <c r="B310" s="405">
        <v>657</v>
      </c>
      <c r="C310" s="404">
        <v>657</v>
      </c>
      <c r="D310" s="404" t="s">
        <v>1794</v>
      </c>
      <c r="F310" s="404">
        <v>0</v>
      </c>
      <c r="G310" s="404">
        <v>0</v>
      </c>
      <c r="H310" s="404">
        <v>0</v>
      </c>
      <c r="I310" s="404">
        <v>0</v>
      </c>
      <c r="J310" s="404">
        <v>3876833</v>
      </c>
      <c r="K310" s="404">
        <v>0</v>
      </c>
      <c r="L310" s="404">
        <v>47277189</v>
      </c>
      <c r="M310" s="404">
        <v>0</v>
      </c>
      <c r="N310" s="404">
        <v>0</v>
      </c>
      <c r="O310" s="404">
        <v>0</v>
      </c>
      <c r="P310" s="404">
        <v>0</v>
      </c>
      <c r="Q310" s="404">
        <v>0</v>
      </c>
      <c r="R310" s="404">
        <v>0</v>
      </c>
      <c r="S310" s="404">
        <v>0</v>
      </c>
      <c r="T310" s="404">
        <v>0</v>
      </c>
      <c r="U310" s="404">
        <v>0</v>
      </c>
      <c r="V310" s="404">
        <v>0</v>
      </c>
      <c r="W310" s="404">
        <v>0</v>
      </c>
      <c r="X310" s="404">
        <v>0</v>
      </c>
      <c r="Y310" s="404">
        <v>0</v>
      </c>
      <c r="Z310" s="404">
        <v>0</v>
      </c>
      <c r="AA310" s="404">
        <v>0</v>
      </c>
      <c r="AB310" s="404">
        <v>16376849</v>
      </c>
      <c r="AC310" s="404">
        <v>0</v>
      </c>
      <c r="AD310" s="404">
        <v>0</v>
      </c>
      <c r="AE310" s="404">
        <v>0</v>
      </c>
      <c r="AF310" s="404">
        <v>0</v>
      </c>
      <c r="AG310" s="404">
        <v>0</v>
      </c>
      <c r="AH310" s="404">
        <v>0</v>
      </c>
      <c r="AI310" s="404">
        <v>0</v>
      </c>
      <c r="AJ310" s="404">
        <v>0</v>
      </c>
      <c r="AK310" s="404">
        <v>0</v>
      </c>
      <c r="AL310" s="404">
        <v>0</v>
      </c>
      <c r="AM310" s="404">
        <v>0</v>
      </c>
      <c r="AN310" s="404">
        <v>0</v>
      </c>
      <c r="AO310" s="404">
        <v>0</v>
      </c>
      <c r="AP310" s="404">
        <v>0</v>
      </c>
      <c r="AQ310" s="404">
        <v>0</v>
      </c>
      <c r="AR310" s="404">
        <v>0</v>
      </c>
      <c r="AS310" s="404">
        <v>0</v>
      </c>
      <c r="AT310" s="404">
        <v>0</v>
      </c>
      <c r="AU310" s="404">
        <v>0</v>
      </c>
      <c r="AV310" s="404">
        <v>0</v>
      </c>
      <c r="AW310" s="404">
        <v>0</v>
      </c>
      <c r="AX310" s="404">
        <v>0</v>
      </c>
      <c r="AY310" s="404">
        <v>0</v>
      </c>
      <c r="AZ310" s="404">
        <v>8750516</v>
      </c>
      <c r="BA310" s="404">
        <v>0</v>
      </c>
      <c r="BB310" s="404">
        <v>0</v>
      </c>
      <c r="BC310" s="404">
        <v>0</v>
      </c>
      <c r="BD310" s="404">
        <v>0</v>
      </c>
      <c r="BE310" s="404">
        <v>0</v>
      </c>
      <c r="BF310" s="404">
        <v>442347</v>
      </c>
      <c r="BG310" s="404">
        <v>0</v>
      </c>
      <c r="BH310" s="404">
        <v>0</v>
      </c>
      <c r="BI310" s="404">
        <v>20299603</v>
      </c>
      <c r="BJ310" s="404">
        <v>0</v>
      </c>
      <c r="BK310" s="404">
        <v>0</v>
      </c>
      <c r="BL310" s="404">
        <v>0</v>
      </c>
      <c r="BM310" s="404">
        <v>3712127</v>
      </c>
      <c r="BN310" s="404">
        <v>0</v>
      </c>
      <c r="BO310" s="404">
        <v>0</v>
      </c>
      <c r="BP310" s="404">
        <v>0</v>
      </c>
      <c r="BQ310" s="404">
        <v>0</v>
      </c>
      <c r="BR310" s="404">
        <v>0</v>
      </c>
      <c r="BS310" s="404">
        <v>0</v>
      </c>
      <c r="BT310" s="404">
        <v>0</v>
      </c>
      <c r="BU310" s="404">
        <v>0</v>
      </c>
      <c r="BV310" s="404">
        <v>0</v>
      </c>
      <c r="BW310" s="404">
        <v>0</v>
      </c>
      <c r="BX310" s="404">
        <v>0</v>
      </c>
      <c r="BY310" s="404">
        <v>0</v>
      </c>
      <c r="BZ310" s="404">
        <v>0</v>
      </c>
      <c r="CA310" s="404">
        <v>0</v>
      </c>
      <c r="CB310" s="404">
        <v>0</v>
      </c>
      <c r="CC310" s="404">
        <v>0</v>
      </c>
      <c r="CD310" s="404">
        <v>52723719</v>
      </c>
      <c r="CE310" s="404">
        <v>0</v>
      </c>
      <c r="CF310" s="404">
        <v>4373561</v>
      </c>
      <c r="CG310" s="404">
        <v>0</v>
      </c>
      <c r="CH310" s="404">
        <v>0</v>
      </c>
      <c r="CI310" s="404">
        <v>0</v>
      </c>
      <c r="CJ310" s="404">
        <v>8110653</v>
      </c>
      <c r="CK310" s="404">
        <v>0</v>
      </c>
      <c r="CL310" s="404">
        <v>0</v>
      </c>
      <c r="CM310" s="404">
        <v>0</v>
      </c>
      <c r="CN310" s="404">
        <v>0</v>
      </c>
      <c r="CO310" s="404">
        <v>0</v>
      </c>
      <c r="CP310" s="404">
        <v>0</v>
      </c>
      <c r="CQ310" s="404">
        <v>0</v>
      </c>
      <c r="CR310" s="404">
        <v>0</v>
      </c>
    </row>
    <row r="311" spans="1:96" s="404" customFormat="1" x14ac:dyDescent="0.3">
      <c r="A311" s="404">
        <v>658</v>
      </c>
      <c r="B311" s="405">
        <v>658</v>
      </c>
      <c r="C311" s="404">
        <v>658</v>
      </c>
      <c r="D311" s="404" t="s">
        <v>846</v>
      </c>
      <c r="F311" s="404">
        <v>0</v>
      </c>
      <c r="G311" s="404">
        <v>0</v>
      </c>
      <c r="H311" s="404">
        <v>0</v>
      </c>
      <c r="I311" s="404">
        <v>0</v>
      </c>
      <c r="J311" s="404">
        <v>102825</v>
      </c>
      <c r="K311" s="404">
        <v>0</v>
      </c>
      <c r="L311" s="404">
        <v>1201856</v>
      </c>
      <c r="M311" s="404">
        <v>0</v>
      </c>
      <c r="N311" s="404">
        <v>0</v>
      </c>
      <c r="O311" s="404">
        <v>0</v>
      </c>
      <c r="P311" s="404">
        <v>0</v>
      </c>
      <c r="Q311" s="404">
        <v>0</v>
      </c>
      <c r="R311" s="404">
        <v>0</v>
      </c>
      <c r="S311" s="404">
        <v>0</v>
      </c>
      <c r="T311" s="404">
        <v>0</v>
      </c>
      <c r="U311" s="404">
        <v>0</v>
      </c>
      <c r="V311" s="404">
        <v>0</v>
      </c>
      <c r="W311" s="404">
        <v>0</v>
      </c>
      <c r="X311" s="404">
        <v>0</v>
      </c>
      <c r="Y311" s="404">
        <v>0</v>
      </c>
      <c r="Z311" s="404">
        <v>0</v>
      </c>
      <c r="AA311" s="404">
        <v>0</v>
      </c>
      <c r="AB311" s="404">
        <v>563713</v>
      </c>
      <c r="AC311" s="404">
        <v>0</v>
      </c>
      <c r="AD311" s="404">
        <v>0</v>
      </c>
      <c r="AE311" s="404">
        <v>0</v>
      </c>
      <c r="AF311" s="404">
        <v>0</v>
      </c>
      <c r="AG311" s="404">
        <v>0</v>
      </c>
      <c r="AH311" s="404">
        <v>0</v>
      </c>
      <c r="AI311" s="404">
        <v>0</v>
      </c>
      <c r="AJ311" s="404">
        <v>0</v>
      </c>
      <c r="AK311" s="404">
        <v>0</v>
      </c>
      <c r="AL311" s="404">
        <v>0</v>
      </c>
      <c r="AM311" s="404">
        <v>0</v>
      </c>
      <c r="AN311" s="404">
        <v>0</v>
      </c>
      <c r="AO311" s="404">
        <v>0</v>
      </c>
      <c r="AP311" s="404">
        <v>0</v>
      </c>
      <c r="AQ311" s="404">
        <v>0</v>
      </c>
      <c r="AR311" s="404">
        <v>0</v>
      </c>
      <c r="AS311" s="404">
        <v>0</v>
      </c>
      <c r="AT311" s="404">
        <v>0</v>
      </c>
      <c r="AU311" s="404">
        <v>0</v>
      </c>
      <c r="AV311" s="404">
        <v>0</v>
      </c>
      <c r="AW311" s="404">
        <v>0</v>
      </c>
      <c r="AX311" s="404">
        <v>0</v>
      </c>
      <c r="AY311" s="404">
        <v>0</v>
      </c>
      <c r="AZ311" s="404">
        <v>0</v>
      </c>
      <c r="BA311" s="404">
        <v>0</v>
      </c>
      <c r="BB311" s="404">
        <v>0</v>
      </c>
      <c r="BC311" s="404">
        <v>0</v>
      </c>
      <c r="BD311" s="404">
        <v>0</v>
      </c>
      <c r="BE311" s="404">
        <v>0</v>
      </c>
      <c r="BF311" s="404">
        <v>8026</v>
      </c>
      <c r="BG311" s="404">
        <v>0</v>
      </c>
      <c r="BH311" s="404">
        <v>0</v>
      </c>
      <c r="BI311" s="404">
        <v>571646</v>
      </c>
      <c r="BJ311" s="404">
        <v>0</v>
      </c>
      <c r="BK311" s="404">
        <v>0</v>
      </c>
      <c r="BL311" s="404">
        <v>0</v>
      </c>
      <c r="BM311" s="404">
        <v>155421</v>
      </c>
      <c r="BN311" s="404">
        <v>0</v>
      </c>
      <c r="BO311" s="404">
        <v>0</v>
      </c>
      <c r="BP311" s="404">
        <v>0</v>
      </c>
      <c r="BQ311" s="404">
        <v>0</v>
      </c>
      <c r="BR311" s="404">
        <v>0</v>
      </c>
      <c r="BS311" s="404">
        <v>0</v>
      </c>
      <c r="BT311" s="404">
        <v>0</v>
      </c>
      <c r="BU311" s="404">
        <v>0</v>
      </c>
      <c r="BV311" s="404">
        <v>0</v>
      </c>
      <c r="BW311" s="404">
        <v>0</v>
      </c>
      <c r="BX311" s="404">
        <v>0</v>
      </c>
      <c r="BY311" s="404">
        <v>0</v>
      </c>
      <c r="BZ311" s="404">
        <v>0</v>
      </c>
      <c r="CA311" s="404">
        <v>0</v>
      </c>
      <c r="CB311" s="404">
        <v>0</v>
      </c>
      <c r="CC311" s="404">
        <v>0</v>
      </c>
      <c r="CD311" s="404">
        <v>0</v>
      </c>
      <c r="CE311" s="404">
        <v>0</v>
      </c>
      <c r="CF311" s="404">
        <v>110605</v>
      </c>
      <c r="CG311" s="404">
        <v>0</v>
      </c>
      <c r="CH311" s="404">
        <v>0</v>
      </c>
      <c r="CI311" s="404">
        <v>0</v>
      </c>
      <c r="CJ311" s="404">
        <v>228281</v>
      </c>
      <c r="CK311" s="404">
        <v>0</v>
      </c>
      <c r="CL311" s="404">
        <v>0</v>
      </c>
      <c r="CM311" s="404">
        <v>0</v>
      </c>
      <c r="CN311" s="404">
        <v>0</v>
      </c>
      <c r="CO311" s="404">
        <v>0</v>
      </c>
      <c r="CP311" s="404">
        <v>0</v>
      </c>
      <c r="CQ311" s="404">
        <v>0</v>
      </c>
      <c r="CR311" s="404">
        <v>0</v>
      </c>
    </row>
    <row r="312" spans="1:96" s="404" customFormat="1" ht="57.6" x14ac:dyDescent="0.3">
      <c r="A312" s="404">
        <v>659</v>
      </c>
      <c r="B312" s="405">
        <v>659</v>
      </c>
      <c r="C312" s="404">
        <v>659</v>
      </c>
      <c r="D312" s="1126" t="s">
        <v>809</v>
      </c>
      <c r="F312" s="404">
        <v>0</v>
      </c>
      <c r="G312" s="404">
        <v>0</v>
      </c>
      <c r="H312" s="404">
        <v>0</v>
      </c>
      <c r="I312" s="404">
        <v>177855</v>
      </c>
      <c r="J312" s="404">
        <v>51916</v>
      </c>
      <c r="K312" s="404">
        <v>0</v>
      </c>
      <c r="L312" s="404">
        <v>1736228</v>
      </c>
      <c r="M312" s="404">
        <v>500561</v>
      </c>
      <c r="N312" s="404">
        <v>0</v>
      </c>
      <c r="O312" s="404">
        <v>0</v>
      </c>
      <c r="P312" s="404">
        <v>0</v>
      </c>
      <c r="Q312" s="404">
        <v>0</v>
      </c>
      <c r="R312" s="404">
        <v>0</v>
      </c>
      <c r="S312" s="404">
        <v>0</v>
      </c>
      <c r="T312" s="404">
        <v>0</v>
      </c>
      <c r="U312" s="404">
        <v>0</v>
      </c>
      <c r="V312" s="404">
        <v>0</v>
      </c>
      <c r="W312" s="404">
        <v>473843</v>
      </c>
      <c r="X312" s="404">
        <v>0</v>
      </c>
      <c r="Y312" s="404">
        <v>832291</v>
      </c>
      <c r="Z312" s="404">
        <v>0</v>
      </c>
      <c r="AA312" s="404">
        <v>0</v>
      </c>
      <c r="AB312" s="404">
        <v>21418240</v>
      </c>
      <c r="AC312" s="404">
        <v>0</v>
      </c>
      <c r="AD312" s="404">
        <v>0</v>
      </c>
      <c r="AE312" s="404">
        <v>0</v>
      </c>
      <c r="AF312" s="404">
        <v>10102951</v>
      </c>
      <c r="AG312" s="404">
        <v>0</v>
      </c>
      <c r="AH312" s="404">
        <v>221765</v>
      </c>
      <c r="AI312" s="404">
        <v>0</v>
      </c>
      <c r="AJ312" s="404">
        <v>0</v>
      </c>
      <c r="AK312" s="404">
        <v>0</v>
      </c>
      <c r="AL312" s="404">
        <v>215574</v>
      </c>
      <c r="AM312" s="404">
        <v>0</v>
      </c>
      <c r="AN312" s="404">
        <v>0</v>
      </c>
      <c r="AO312" s="404">
        <v>0</v>
      </c>
      <c r="AP312" s="404">
        <v>0</v>
      </c>
      <c r="AQ312" s="404">
        <v>898552</v>
      </c>
      <c r="AR312" s="404">
        <v>0</v>
      </c>
      <c r="AS312" s="404">
        <v>0</v>
      </c>
      <c r="AT312" s="404">
        <v>0</v>
      </c>
      <c r="AU312" s="404">
        <v>0</v>
      </c>
      <c r="AV312" s="404">
        <v>0</v>
      </c>
      <c r="AW312" s="404">
        <v>185821</v>
      </c>
      <c r="AX312" s="404">
        <v>5523355</v>
      </c>
      <c r="AY312" s="404">
        <v>0</v>
      </c>
      <c r="AZ312" s="404">
        <v>9659533</v>
      </c>
      <c r="BA312" s="404">
        <v>0</v>
      </c>
      <c r="BB312" s="404">
        <v>0</v>
      </c>
      <c r="BC312" s="404">
        <v>0</v>
      </c>
      <c r="BD312" s="404">
        <v>0</v>
      </c>
      <c r="BE312" s="404">
        <v>0</v>
      </c>
      <c r="BF312" s="404">
        <v>0</v>
      </c>
      <c r="BG312" s="404">
        <v>0</v>
      </c>
      <c r="BH312" s="404">
        <v>62757</v>
      </c>
      <c r="BI312" s="404">
        <v>5967716</v>
      </c>
      <c r="BJ312" s="404">
        <v>0</v>
      </c>
      <c r="BK312" s="404">
        <v>0</v>
      </c>
      <c r="BL312" s="404">
        <v>0</v>
      </c>
      <c r="BM312" s="404">
        <v>6134184</v>
      </c>
      <c r="BN312" s="404">
        <v>1251338</v>
      </c>
      <c r="BO312" s="404">
        <v>0</v>
      </c>
      <c r="BP312" s="404">
        <v>0</v>
      </c>
      <c r="BQ312" s="404">
        <v>240799</v>
      </c>
      <c r="BR312" s="404">
        <v>4325498</v>
      </c>
      <c r="BS312" s="404">
        <v>0</v>
      </c>
      <c r="BT312" s="404">
        <v>0</v>
      </c>
      <c r="BU312" s="404">
        <v>0</v>
      </c>
      <c r="BV312" s="404">
        <v>0</v>
      </c>
      <c r="BW312" s="404">
        <v>0</v>
      </c>
      <c r="BX312" s="404">
        <v>0</v>
      </c>
      <c r="BY312" s="404">
        <v>1707692</v>
      </c>
      <c r="BZ312" s="404">
        <v>0</v>
      </c>
      <c r="CA312" s="404">
        <v>0</v>
      </c>
      <c r="CB312" s="404">
        <v>5497446</v>
      </c>
      <c r="CC312" s="404">
        <v>55353219</v>
      </c>
      <c r="CD312" s="404">
        <v>59976898</v>
      </c>
      <c r="CE312" s="404">
        <v>0</v>
      </c>
      <c r="CF312" s="404">
        <v>2225973</v>
      </c>
      <c r="CG312" s="404">
        <v>0</v>
      </c>
      <c r="CH312" s="404">
        <v>0</v>
      </c>
      <c r="CI312" s="404">
        <v>72030899</v>
      </c>
      <c r="CJ312" s="404">
        <v>1996532</v>
      </c>
      <c r="CK312" s="404">
        <v>0</v>
      </c>
      <c r="CL312" s="404">
        <v>1847126</v>
      </c>
      <c r="CM312" s="404">
        <v>0</v>
      </c>
      <c r="CN312" s="404">
        <v>5510277</v>
      </c>
      <c r="CO312" s="404">
        <v>0</v>
      </c>
      <c r="CP312" s="404">
        <v>0</v>
      </c>
      <c r="CQ312" s="404">
        <v>0</v>
      </c>
      <c r="CR312" s="404">
        <v>4933981</v>
      </c>
    </row>
    <row r="313" spans="1:96" s="404" customFormat="1" ht="57.6" x14ac:dyDescent="0.3">
      <c r="A313" s="404">
        <v>660</v>
      </c>
      <c r="B313" s="405">
        <v>660</v>
      </c>
      <c r="C313" s="404">
        <v>660</v>
      </c>
      <c r="D313" s="1126" t="s">
        <v>810</v>
      </c>
      <c r="F313" s="404">
        <v>0</v>
      </c>
      <c r="G313" s="404">
        <v>0</v>
      </c>
      <c r="H313" s="404">
        <v>0</v>
      </c>
      <c r="I313" s="404">
        <v>0</v>
      </c>
      <c r="J313" s="404">
        <v>0</v>
      </c>
      <c r="K313" s="404">
        <v>0</v>
      </c>
      <c r="L313" s="404">
        <v>0</v>
      </c>
      <c r="M313" s="404">
        <v>0</v>
      </c>
      <c r="N313" s="404">
        <v>0</v>
      </c>
      <c r="O313" s="404">
        <v>0</v>
      </c>
      <c r="P313" s="404">
        <v>0</v>
      </c>
      <c r="Q313" s="404">
        <v>0</v>
      </c>
      <c r="R313" s="404">
        <v>0</v>
      </c>
      <c r="S313" s="404">
        <v>0</v>
      </c>
      <c r="T313" s="404">
        <v>0</v>
      </c>
      <c r="U313" s="404">
        <v>0</v>
      </c>
      <c r="V313" s="404">
        <v>0</v>
      </c>
      <c r="W313" s="404">
        <v>0</v>
      </c>
      <c r="X313" s="404">
        <v>0</v>
      </c>
      <c r="Y313" s="404">
        <v>0</v>
      </c>
      <c r="Z313" s="404">
        <v>0</v>
      </c>
      <c r="AA313" s="404">
        <v>0</v>
      </c>
      <c r="AB313" s="404">
        <v>0</v>
      </c>
      <c r="AC313" s="404">
        <v>0</v>
      </c>
      <c r="AD313" s="404">
        <v>0</v>
      </c>
      <c r="AE313" s="404">
        <v>0</v>
      </c>
      <c r="AF313" s="404">
        <v>0</v>
      </c>
      <c r="AG313" s="404">
        <v>0</v>
      </c>
      <c r="AH313" s="404">
        <v>0</v>
      </c>
      <c r="AI313" s="404">
        <v>0</v>
      </c>
      <c r="AJ313" s="404">
        <v>0</v>
      </c>
      <c r="AK313" s="404">
        <v>0</v>
      </c>
      <c r="AL313" s="404">
        <v>0</v>
      </c>
      <c r="AM313" s="404">
        <v>0</v>
      </c>
      <c r="AN313" s="404">
        <v>0</v>
      </c>
      <c r="AO313" s="404">
        <v>0</v>
      </c>
      <c r="AP313" s="404">
        <v>0</v>
      </c>
      <c r="AQ313" s="404">
        <v>0</v>
      </c>
      <c r="AR313" s="404">
        <v>0</v>
      </c>
      <c r="AS313" s="404">
        <v>0</v>
      </c>
      <c r="AT313" s="404">
        <v>0</v>
      </c>
      <c r="AU313" s="404">
        <v>0</v>
      </c>
      <c r="AV313" s="404">
        <v>0</v>
      </c>
      <c r="AW313" s="404">
        <v>0</v>
      </c>
      <c r="AX313" s="404">
        <v>0</v>
      </c>
      <c r="AY313" s="404">
        <v>0</v>
      </c>
      <c r="AZ313" s="404">
        <v>0</v>
      </c>
      <c r="BA313" s="404">
        <v>0</v>
      </c>
      <c r="BB313" s="404">
        <v>0</v>
      </c>
      <c r="BC313" s="404">
        <v>0</v>
      </c>
      <c r="BD313" s="404">
        <v>0</v>
      </c>
      <c r="BE313" s="404">
        <v>0</v>
      </c>
      <c r="BF313" s="404">
        <v>0</v>
      </c>
      <c r="BG313" s="404">
        <v>0</v>
      </c>
      <c r="BH313" s="404">
        <v>0</v>
      </c>
      <c r="BI313" s="404">
        <v>0</v>
      </c>
      <c r="BJ313" s="404">
        <v>0</v>
      </c>
      <c r="BK313" s="404">
        <v>0</v>
      </c>
      <c r="BL313" s="404">
        <v>0</v>
      </c>
      <c r="BM313" s="404">
        <v>0</v>
      </c>
      <c r="BN313" s="404">
        <v>0</v>
      </c>
      <c r="BO313" s="404">
        <v>0</v>
      </c>
      <c r="BP313" s="404">
        <v>0</v>
      </c>
      <c r="BQ313" s="404">
        <v>0</v>
      </c>
      <c r="BR313" s="404">
        <v>0</v>
      </c>
      <c r="BS313" s="404">
        <v>0</v>
      </c>
      <c r="BT313" s="404">
        <v>0</v>
      </c>
      <c r="BU313" s="404">
        <v>0</v>
      </c>
      <c r="BV313" s="404">
        <v>0</v>
      </c>
      <c r="BW313" s="404">
        <v>0</v>
      </c>
      <c r="BX313" s="404">
        <v>0</v>
      </c>
      <c r="BY313" s="404">
        <v>0</v>
      </c>
      <c r="BZ313" s="404">
        <v>0</v>
      </c>
      <c r="CA313" s="404">
        <v>0</v>
      </c>
      <c r="CB313" s="404">
        <v>963186</v>
      </c>
      <c r="CC313" s="404">
        <v>3062135</v>
      </c>
      <c r="CD313" s="404">
        <v>0</v>
      </c>
      <c r="CE313" s="404">
        <v>0</v>
      </c>
      <c r="CF313" s="404">
        <v>0</v>
      </c>
      <c r="CG313" s="404">
        <v>0</v>
      </c>
      <c r="CH313" s="404">
        <v>0</v>
      </c>
      <c r="CI313" s="404">
        <v>64178394</v>
      </c>
      <c r="CJ313" s="404">
        <v>0</v>
      </c>
      <c r="CK313" s="404">
        <v>0</v>
      </c>
      <c r="CL313" s="404">
        <v>0</v>
      </c>
      <c r="CM313" s="404">
        <v>0</v>
      </c>
      <c r="CN313" s="404">
        <v>0</v>
      </c>
      <c r="CO313" s="404">
        <v>0</v>
      </c>
      <c r="CP313" s="404">
        <v>0</v>
      </c>
      <c r="CQ313" s="404">
        <v>0</v>
      </c>
      <c r="CR313" s="404">
        <v>0</v>
      </c>
    </row>
    <row r="314" spans="1:96" s="404" customFormat="1" x14ac:dyDescent="0.3">
      <c r="A314" s="404">
        <v>661</v>
      </c>
      <c r="B314" s="405">
        <v>661</v>
      </c>
      <c r="C314" s="404">
        <v>661</v>
      </c>
      <c r="D314" s="404" t="s">
        <v>813</v>
      </c>
      <c r="F314" s="1168">
        <v>0</v>
      </c>
      <c r="G314" s="1168">
        <v>0</v>
      </c>
      <c r="H314" s="1168">
        <v>0</v>
      </c>
      <c r="I314" s="1168">
        <v>0</v>
      </c>
      <c r="J314" s="1168">
        <v>0</v>
      </c>
      <c r="K314" s="1168">
        <v>0</v>
      </c>
      <c r="L314" s="1168">
        <v>0</v>
      </c>
      <c r="M314" s="1168">
        <v>0</v>
      </c>
      <c r="N314" s="1168">
        <v>0</v>
      </c>
      <c r="O314" s="1168">
        <v>0</v>
      </c>
      <c r="P314" s="1168">
        <v>0</v>
      </c>
      <c r="Q314" s="1168">
        <v>0</v>
      </c>
      <c r="R314" s="1168">
        <v>0</v>
      </c>
      <c r="S314" s="1168">
        <v>0</v>
      </c>
      <c r="T314" s="1168">
        <v>0</v>
      </c>
      <c r="U314" s="1168">
        <v>0</v>
      </c>
      <c r="V314" s="1168">
        <v>0</v>
      </c>
      <c r="W314" s="1168">
        <v>0</v>
      </c>
      <c r="X314" s="1168">
        <v>0</v>
      </c>
      <c r="Y314" s="1168">
        <v>0</v>
      </c>
      <c r="Z314" s="1168">
        <v>0</v>
      </c>
      <c r="AA314" s="1168">
        <v>0</v>
      </c>
      <c r="AB314" s="1168">
        <v>0</v>
      </c>
      <c r="AC314" s="1168">
        <v>0</v>
      </c>
      <c r="AD314" s="1168">
        <v>0</v>
      </c>
      <c r="AE314" s="1168">
        <v>0</v>
      </c>
      <c r="AF314" s="1168">
        <v>0</v>
      </c>
      <c r="AG314" s="1168">
        <v>0</v>
      </c>
      <c r="AH314" s="1168">
        <v>0</v>
      </c>
      <c r="AI314" s="1168">
        <v>0</v>
      </c>
      <c r="AJ314" s="1168">
        <v>0</v>
      </c>
      <c r="AK314" s="1168">
        <v>0</v>
      </c>
      <c r="AL314" s="1168">
        <v>0</v>
      </c>
      <c r="AM314" s="1168">
        <v>0</v>
      </c>
      <c r="AN314" s="1168">
        <v>0</v>
      </c>
      <c r="AO314" s="1168">
        <v>0</v>
      </c>
      <c r="AP314" s="1168">
        <v>0</v>
      </c>
      <c r="AQ314" s="1168">
        <v>0</v>
      </c>
      <c r="AR314" s="1168">
        <v>0</v>
      </c>
      <c r="AS314" s="1168">
        <v>0</v>
      </c>
      <c r="AT314" s="1168">
        <v>0</v>
      </c>
      <c r="AU314" s="1168">
        <v>0</v>
      </c>
      <c r="AV314" s="1168">
        <v>0</v>
      </c>
      <c r="AW314" s="1168">
        <v>0</v>
      </c>
      <c r="AX314" s="1168">
        <v>0</v>
      </c>
      <c r="AY314" s="1168">
        <v>0</v>
      </c>
      <c r="AZ314" s="1168">
        <v>0</v>
      </c>
      <c r="BA314" s="1168">
        <v>0</v>
      </c>
      <c r="BB314" s="1168">
        <v>0</v>
      </c>
      <c r="BC314" s="1168">
        <v>0</v>
      </c>
      <c r="BD314" s="1168">
        <v>0</v>
      </c>
      <c r="BE314" s="1168">
        <v>0</v>
      </c>
      <c r="BF314" s="1168">
        <v>0</v>
      </c>
      <c r="BG314" s="1168">
        <v>0</v>
      </c>
      <c r="BH314" s="1168">
        <v>0</v>
      </c>
      <c r="BI314" s="1168">
        <v>0</v>
      </c>
      <c r="BJ314" s="1168">
        <v>0</v>
      </c>
      <c r="BK314" s="1168">
        <v>0</v>
      </c>
      <c r="BL314" s="1168">
        <v>0</v>
      </c>
      <c r="BM314" s="1168">
        <v>0</v>
      </c>
      <c r="BN314" s="1168">
        <v>0</v>
      </c>
      <c r="BO314" s="1168">
        <v>0</v>
      </c>
      <c r="BP314" s="1168">
        <v>0</v>
      </c>
      <c r="BQ314" s="1168">
        <v>0</v>
      </c>
      <c r="BR314" s="1168">
        <v>0</v>
      </c>
      <c r="BS314" s="1168">
        <v>0</v>
      </c>
      <c r="BT314" s="1168">
        <v>0</v>
      </c>
      <c r="BU314" s="1168">
        <v>0</v>
      </c>
      <c r="BV314" s="1168">
        <v>0</v>
      </c>
      <c r="BW314" s="1168">
        <v>0</v>
      </c>
      <c r="BX314" s="1168">
        <v>0</v>
      </c>
      <c r="BY314" s="1168">
        <v>0</v>
      </c>
      <c r="BZ314" s="1168">
        <v>0</v>
      </c>
      <c r="CA314" s="1168">
        <v>0</v>
      </c>
      <c r="CB314" s="1168">
        <v>17.5</v>
      </c>
      <c r="CC314" s="1168">
        <v>5.5</v>
      </c>
      <c r="CD314" s="1168">
        <v>0</v>
      </c>
      <c r="CE314" s="1168">
        <v>0</v>
      </c>
      <c r="CF314" s="1168">
        <v>0</v>
      </c>
      <c r="CG314" s="1168">
        <v>0</v>
      </c>
      <c r="CH314" s="1168">
        <v>0</v>
      </c>
      <c r="CI314" s="1168">
        <v>89.1</v>
      </c>
      <c r="CJ314" s="1168">
        <v>0</v>
      </c>
      <c r="CK314" s="1168">
        <v>0</v>
      </c>
      <c r="CL314" s="1168">
        <v>0</v>
      </c>
      <c r="CM314" s="1168">
        <v>0</v>
      </c>
      <c r="CN314" s="1168">
        <v>0</v>
      </c>
      <c r="CO314" s="1168">
        <v>0</v>
      </c>
      <c r="CP314" s="1168">
        <v>0</v>
      </c>
      <c r="CQ314" s="1168">
        <v>0</v>
      </c>
      <c r="CR314" s="1168">
        <v>0</v>
      </c>
    </row>
    <row r="315" spans="1:96" s="404" customFormat="1" x14ac:dyDescent="0.3">
      <c r="A315" s="404">
        <v>662</v>
      </c>
      <c r="B315" s="405">
        <v>662</v>
      </c>
      <c r="C315" s="404">
        <v>662</v>
      </c>
      <c r="D315" s="404" t="s">
        <v>850</v>
      </c>
      <c r="F315" s="404">
        <v>0</v>
      </c>
      <c r="G315" s="404">
        <v>0</v>
      </c>
      <c r="H315" s="404">
        <v>0</v>
      </c>
      <c r="I315" s="404">
        <v>0</v>
      </c>
      <c r="J315" s="404">
        <v>0</v>
      </c>
      <c r="K315" s="404">
        <v>0</v>
      </c>
      <c r="L315" s="404">
        <v>73986</v>
      </c>
      <c r="M315" s="404">
        <v>0</v>
      </c>
      <c r="N315" s="404">
        <v>0</v>
      </c>
      <c r="O315" s="404">
        <v>0</v>
      </c>
      <c r="P315" s="404">
        <v>0</v>
      </c>
      <c r="Q315" s="404">
        <v>0</v>
      </c>
      <c r="R315" s="404">
        <v>0</v>
      </c>
      <c r="S315" s="404">
        <v>0</v>
      </c>
      <c r="T315" s="404">
        <v>0</v>
      </c>
      <c r="U315" s="404">
        <v>0</v>
      </c>
      <c r="V315" s="404">
        <v>0</v>
      </c>
      <c r="W315" s="404">
        <v>0</v>
      </c>
      <c r="X315" s="404">
        <v>0</v>
      </c>
      <c r="Y315" s="404">
        <v>316157</v>
      </c>
      <c r="Z315" s="404">
        <v>0</v>
      </c>
      <c r="AA315" s="404">
        <v>0</v>
      </c>
      <c r="AB315" s="404">
        <v>0</v>
      </c>
      <c r="AC315" s="404">
        <v>0</v>
      </c>
      <c r="AD315" s="404">
        <v>0</v>
      </c>
      <c r="AE315" s="404">
        <v>0</v>
      </c>
      <c r="AF315" s="404">
        <v>25080</v>
      </c>
      <c r="AG315" s="404">
        <v>0</v>
      </c>
      <c r="AH315" s="404">
        <v>0</v>
      </c>
      <c r="AI315" s="404">
        <v>0</v>
      </c>
      <c r="AJ315" s="404">
        <v>0</v>
      </c>
      <c r="AK315" s="404">
        <v>0</v>
      </c>
      <c r="AL315" s="404">
        <v>0</v>
      </c>
      <c r="AM315" s="404">
        <v>0</v>
      </c>
      <c r="AN315" s="404">
        <v>0</v>
      </c>
      <c r="AO315" s="404">
        <v>0</v>
      </c>
      <c r="AP315" s="404">
        <v>0</v>
      </c>
      <c r="AQ315" s="404">
        <v>0</v>
      </c>
      <c r="AR315" s="404">
        <v>0</v>
      </c>
      <c r="AS315" s="404">
        <v>0</v>
      </c>
      <c r="AT315" s="404">
        <v>0</v>
      </c>
      <c r="AU315" s="404">
        <v>0</v>
      </c>
      <c r="AV315" s="404">
        <v>0</v>
      </c>
      <c r="AW315" s="404">
        <v>0</v>
      </c>
      <c r="AX315" s="404">
        <v>0</v>
      </c>
      <c r="AY315" s="404">
        <v>0</v>
      </c>
      <c r="AZ315" s="404">
        <v>0</v>
      </c>
      <c r="BA315" s="404">
        <v>0</v>
      </c>
      <c r="BB315" s="404">
        <v>0</v>
      </c>
      <c r="BC315" s="404">
        <v>0</v>
      </c>
      <c r="BD315" s="404">
        <v>0</v>
      </c>
      <c r="BE315" s="404">
        <v>0</v>
      </c>
      <c r="BF315" s="404">
        <v>0</v>
      </c>
      <c r="BG315" s="404">
        <v>56993</v>
      </c>
      <c r="BH315" s="404">
        <v>0</v>
      </c>
      <c r="BI315" s="404">
        <v>0</v>
      </c>
      <c r="BJ315" s="404">
        <v>0</v>
      </c>
      <c r="BK315" s="404">
        <v>0</v>
      </c>
      <c r="BL315" s="404">
        <v>0</v>
      </c>
      <c r="BM315" s="404">
        <v>0</v>
      </c>
      <c r="BN315" s="404">
        <v>0</v>
      </c>
      <c r="BO315" s="404">
        <v>0</v>
      </c>
      <c r="BP315" s="404">
        <v>0</v>
      </c>
      <c r="BQ315" s="404">
        <v>0</v>
      </c>
      <c r="BR315" s="404">
        <v>0</v>
      </c>
      <c r="BS315" s="404">
        <v>0</v>
      </c>
      <c r="BT315" s="404">
        <v>0</v>
      </c>
      <c r="BU315" s="404">
        <v>0</v>
      </c>
      <c r="BV315" s="404">
        <v>0</v>
      </c>
      <c r="BW315" s="404">
        <v>0</v>
      </c>
      <c r="BX315" s="404">
        <v>0</v>
      </c>
      <c r="BY315" s="404">
        <v>36399</v>
      </c>
      <c r="BZ315" s="404">
        <v>0</v>
      </c>
      <c r="CA315" s="404">
        <v>0</v>
      </c>
      <c r="CB315" s="404">
        <v>0</v>
      </c>
      <c r="CC315" s="404">
        <v>331719</v>
      </c>
      <c r="CD315" s="404">
        <v>250000</v>
      </c>
      <c r="CE315" s="404">
        <v>0</v>
      </c>
      <c r="CF315" s="404">
        <v>12264</v>
      </c>
      <c r="CG315" s="404">
        <v>0</v>
      </c>
      <c r="CH315" s="404">
        <v>0</v>
      </c>
      <c r="CI315" s="404">
        <v>146465</v>
      </c>
      <c r="CJ315" s="404">
        <v>0</v>
      </c>
      <c r="CK315" s="404">
        <v>0</v>
      </c>
      <c r="CL315" s="404">
        <v>0</v>
      </c>
      <c r="CM315" s="404">
        <v>0</v>
      </c>
      <c r="CN315" s="404">
        <v>0</v>
      </c>
      <c r="CO315" s="404">
        <v>0</v>
      </c>
      <c r="CP315" s="404">
        <v>0</v>
      </c>
      <c r="CQ315" s="404">
        <v>0</v>
      </c>
      <c r="CR315" s="404">
        <v>0</v>
      </c>
    </row>
    <row r="316" spans="1:96" s="404" customFormat="1" x14ac:dyDescent="0.3">
      <c r="A316" s="404">
        <v>663</v>
      </c>
      <c r="B316" s="405">
        <v>663</v>
      </c>
      <c r="C316" s="404">
        <v>663</v>
      </c>
      <c r="D316" s="404" t="s">
        <v>851</v>
      </c>
      <c r="F316" s="404">
        <v>0</v>
      </c>
      <c r="G316" s="404">
        <v>0</v>
      </c>
      <c r="H316" s="404">
        <v>0</v>
      </c>
      <c r="I316" s="404">
        <v>0</v>
      </c>
      <c r="J316" s="404">
        <v>0</v>
      </c>
      <c r="K316" s="404">
        <v>0</v>
      </c>
      <c r="L316" s="404">
        <v>0</v>
      </c>
      <c r="M316" s="404">
        <v>0</v>
      </c>
      <c r="N316" s="404">
        <v>0</v>
      </c>
      <c r="O316" s="404">
        <v>0</v>
      </c>
      <c r="P316" s="404">
        <v>0</v>
      </c>
      <c r="Q316" s="404">
        <v>0</v>
      </c>
      <c r="R316" s="404">
        <v>0</v>
      </c>
      <c r="S316" s="404">
        <v>0</v>
      </c>
      <c r="T316" s="404">
        <v>0</v>
      </c>
      <c r="U316" s="404">
        <v>0</v>
      </c>
      <c r="V316" s="404">
        <v>0</v>
      </c>
      <c r="W316" s="404">
        <v>0</v>
      </c>
      <c r="X316" s="404">
        <v>0</v>
      </c>
      <c r="Y316" s="404">
        <v>0</v>
      </c>
      <c r="Z316" s="404">
        <v>0</v>
      </c>
      <c r="AA316" s="404">
        <v>0</v>
      </c>
      <c r="AB316" s="404">
        <v>0</v>
      </c>
      <c r="AC316" s="404">
        <v>0</v>
      </c>
      <c r="AD316" s="404">
        <v>0</v>
      </c>
      <c r="AE316" s="404">
        <v>0</v>
      </c>
      <c r="AF316" s="404">
        <v>0</v>
      </c>
      <c r="AG316" s="404">
        <v>0</v>
      </c>
      <c r="AH316" s="404">
        <v>0</v>
      </c>
      <c r="AI316" s="404">
        <v>0</v>
      </c>
      <c r="AJ316" s="404">
        <v>0</v>
      </c>
      <c r="AK316" s="404">
        <v>0</v>
      </c>
      <c r="AL316" s="404">
        <v>0</v>
      </c>
      <c r="AM316" s="404">
        <v>0</v>
      </c>
      <c r="AN316" s="404">
        <v>0</v>
      </c>
      <c r="AO316" s="404">
        <v>0</v>
      </c>
      <c r="AP316" s="404">
        <v>0</v>
      </c>
      <c r="AQ316" s="404">
        <v>0</v>
      </c>
      <c r="AR316" s="404">
        <v>0</v>
      </c>
      <c r="AS316" s="404">
        <v>0</v>
      </c>
      <c r="AT316" s="404">
        <v>0</v>
      </c>
      <c r="AU316" s="404">
        <v>0</v>
      </c>
      <c r="AV316" s="404">
        <v>0</v>
      </c>
      <c r="AW316" s="404">
        <v>0</v>
      </c>
      <c r="AX316" s="404">
        <v>0</v>
      </c>
      <c r="AY316" s="404">
        <v>0</v>
      </c>
      <c r="AZ316" s="404">
        <v>0</v>
      </c>
      <c r="BA316" s="404">
        <v>0</v>
      </c>
      <c r="BB316" s="404">
        <v>0</v>
      </c>
      <c r="BC316" s="404">
        <v>0</v>
      </c>
      <c r="BD316" s="404">
        <v>0</v>
      </c>
      <c r="BE316" s="404">
        <v>0</v>
      </c>
      <c r="BF316" s="404">
        <v>0</v>
      </c>
      <c r="BG316" s="404">
        <v>0</v>
      </c>
      <c r="BH316" s="404">
        <v>0</v>
      </c>
      <c r="BI316" s="404">
        <v>45780</v>
      </c>
      <c r="BJ316" s="404">
        <v>0</v>
      </c>
      <c r="BK316" s="404">
        <v>0</v>
      </c>
      <c r="BL316" s="404">
        <v>0</v>
      </c>
      <c r="BM316" s="404">
        <v>0</v>
      </c>
      <c r="BN316" s="404">
        <v>0</v>
      </c>
      <c r="BO316" s="404">
        <v>0</v>
      </c>
      <c r="BP316" s="404">
        <v>0</v>
      </c>
      <c r="BQ316" s="404">
        <v>0</v>
      </c>
      <c r="BR316" s="404">
        <v>0</v>
      </c>
      <c r="BS316" s="404">
        <v>0</v>
      </c>
      <c r="BT316" s="404">
        <v>0</v>
      </c>
      <c r="BU316" s="404">
        <v>0</v>
      </c>
      <c r="BV316" s="404">
        <v>0</v>
      </c>
      <c r="BW316" s="404">
        <v>0</v>
      </c>
      <c r="BX316" s="404">
        <v>0</v>
      </c>
      <c r="BY316" s="404">
        <v>0</v>
      </c>
      <c r="BZ316" s="404">
        <v>0</v>
      </c>
      <c r="CA316" s="404">
        <v>0</v>
      </c>
      <c r="CB316" s="404">
        <v>0</v>
      </c>
      <c r="CC316" s="404">
        <v>0</v>
      </c>
      <c r="CD316" s="404">
        <v>524599</v>
      </c>
      <c r="CE316" s="404">
        <v>0</v>
      </c>
      <c r="CF316" s="404">
        <v>0</v>
      </c>
      <c r="CG316" s="404">
        <v>0</v>
      </c>
      <c r="CH316" s="404">
        <v>0</v>
      </c>
      <c r="CI316" s="404">
        <v>0</v>
      </c>
      <c r="CJ316" s="404">
        <v>0</v>
      </c>
      <c r="CK316" s="404">
        <v>0</v>
      </c>
      <c r="CL316" s="404">
        <v>0</v>
      </c>
      <c r="CM316" s="404">
        <v>0</v>
      </c>
      <c r="CN316" s="404">
        <v>0</v>
      </c>
      <c r="CO316" s="404">
        <v>0</v>
      </c>
      <c r="CP316" s="404">
        <v>0</v>
      </c>
      <c r="CQ316" s="404">
        <v>0</v>
      </c>
      <c r="CR316" s="404">
        <v>0</v>
      </c>
    </row>
    <row r="317" spans="1:96" s="404" customFormat="1" x14ac:dyDescent="0.3">
      <c r="A317" s="404">
        <v>906</v>
      </c>
      <c r="B317" s="404">
        <v>906</v>
      </c>
      <c r="C317" s="404" t="s">
        <v>1795</v>
      </c>
      <c r="D317" s="404" t="s">
        <v>903</v>
      </c>
      <c r="F317" s="404">
        <v>1</v>
      </c>
      <c r="G317" s="404">
        <v>1</v>
      </c>
      <c r="H317" s="404">
        <v>1</v>
      </c>
      <c r="I317" s="404">
        <v>1</v>
      </c>
      <c r="J317" s="404">
        <v>1</v>
      </c>
      <c r="K317" s="404">
        <v>1</v>
      </c>
      <c r="L317" s="404">
        <v>1</v>
      </c>
      <c r="M317" s="404">
        <v>1</v>
      </c>
      <c r="N317" s="404">
        <v>1</v>
      </c>
      <c r="O317" s="404">
        <v>1</v>
      </c>
      <c r="P317" s="404">
        <v>1</v>
      </c>
      <c r="Q317" s="404">
        <v>1</v>
      </c>
      <c r="R317" s="404">
        <v>1</v>
      </c>
      <c r="S317" s="404">
        <v>1</v>
      </c>
      <c r="T317" s="404">
        <v>1</v>
      </c>
      <c r="U317" s="404">
        <v>1</v>
      </c>
      <c r="V317" s="404">
        <v>1</v>
      </c>
      <c r="W317" s="404">
        <v>1</v>
      </c>
      <c r="X317" s="404">
        <v>1</v>
      </c>
      <c r="Y317" s="404">
        <v>1</v>
      </c>
      <c r="Z317" s="404">
        <v>1</v>
      </c>
      <c r="AA317" s="404">
        <v>1</v>
      </c>
      <c r="AB317" s="404">
        <v>1</v>
      </c>
      <c r="AC317" s="404">
        <v>1</v>
      </c>
      <c r="AD317" s="404">
        <v>1</v>
      </c>
      <c r="AE317" s="404">
        <v>1</v>
      </c>
      <c r="AF317" s="404">
        <v>1</v>
      </c>
      <c r="AG317" s="404">
        <v>1</v>
      </c>
      <c r="AH317" s="404">
        <v>1</v>
      </c>
      <c r="AI317" s="404">
        <v>1</v>
      </c>
      <c r="AJ317" s="404">
        <v>1</v>
      </c>
      <c r="AK317" s="404">
        <v>1</v>
      </c>
      <c r="AL317" s="404">
        <v>1</v>
      </c>
      <c r="AM317" s="404">
        <v>1</v>
      </c>
      <c r="AN317" s="404">
        <v>1</v>
      </c>
      <c r="AO317" s="404">
        <v>1</v>
      </c>
      <c r="AP317" s="404">
        <v>1</v>
      </c>
      <c r="AQ317" s="404">
        <v>1</v>
      </c>
      <c r="AR317" s="404">
        <v>0</v>
      </c>
      <c r="AS317" s="404">
        <v>1</v>
      </c>
      <c r="AT317" s="404">
        <v>1</v>
      </c>
      <c r="AU317" s="404">
        <v>1</v>
      </c>
      <c r="AV317" s="404">
        <v>1</v>
      </c>
      <c r="AW317" s="404">
        <v>1</v>
      </c>
      <c r="AX317" s="404">
        <v>1</v>
      </c>
      <c r="AY317" s="404">
        <v>1</v>
      </c>
      <c r="AZ317" s="404">
        <v>1</v>
      </c>
      <c r="BA317" s="404">
        <v>1</v>
      </c>
      <c r="BB317" s="404">
        <v>1</v>
      </c>
      <c r="BC317" s="404">
        <v>1</v>
      </c>
      <c r="BD317" s="404">
        <v>1</v>
      </c>
      <c r="BE317" s="404">
        <v>1</v>
      </c>
      <c r="BF317" s="404">
        <v>1</v>
      </c>
      <c r="BG317" s="404">
        <v>1</v>
      </c>
      <c r="BH317" s="404">
        <v>1</v>
      </c>
      <c r="BI317" s="404">
        <v>1</v>
      </c>
      <c r="BJ317" s="404">
        <v>1</v>
      </c>
      <c r="BK317" s="404">
        <v>1</v>
      </c>
      <c r="BL317" s="404">
        <v>1</v>
      </c>
      <c r="BM317" s="404">
        <v>1</v>
      </c>
      <c r="BN317" s="404">
        <v>1</v>
      </c>
      <c r="BO317" s="404">
        <v>1</v>
      </c>
      <c r="BP317" s="404">
        <v>1</v>
      </c>
      <c r="BQ317" s="404">
        <v>1</v>
      </c>
      <c r="BR317" s="404">
        <v>1</v>
      </c>
      <c r="BS317" s="404">
        <v>1</v>
      </c>
      <c r="BT317" s="404">
        <v>1</v>
      </c>
      <c r="BU317" s="404">
        <v>1</v>
      </c>
      <c r="BV317" s="404">
        <v>1</v>
      </c>
      <c r="BW317" s="404">
        <v>0</v>
      </c>
      <c r="BX317" s="404">
        <v>1</v>
      </c>
      <c r="BY317" s="404">
        <v>1</v>
      </c>
      <c r="BZ317" s="404">
        <v>1</v>
      </c>
      <c r="CA317" s="404">
        <v>0</v>
      </c>
      <c r="CB317" s="404">
        <v>1</v>
      </c>
      <c r="CC317" s="404">
        <v>1</v>
      </c>
      <c r="CD317" s="404">
        <v>1</v>
      </c>
      <c r="CE317" s="404">
        <v>1</v>
      </c>
      <c r="CF317" s="404">
        <v>1</v>
      </c>
      <c r="CG317" s="404">
        <v>1</v>
      </c>
      <c r="CH317" s="404">
        <v>1</v>
      </c>
      <c r="CI317" s="404">
        <v>1</v>
      </c>
      <c r="CJ317" s="404">
        <v>1</v>
      </c>
      <c r="CK317" s="404">
        <v>1</v>
      </c>
      <c r="CL317" s="404">
        <v>1</v>
      </c>
      <c r="CM317" s="404">
        <v>1</v>
      </c>
      <c r="CN317" s="404">
        <v>1</v>
      </c>
      <c r="CO317" s="404">
        <v>1</v>
      </c>
      <c r="CP317" s="404">
        <v>1</v>
      </c>
      <c r="CQ317" s="404">
        <v>1</v>
      </c>
      <c r="CR317" s="404">
        <v>1</v>
      </c>
    </row>
    <row r="318" spans="1:96" s="404" customFormat="1" x14ac:dyDescent="0.3">
      <c r="A318" s="404">
        <v>907</v>
      </c>
      <c r="B318" s="404">
        <v>907</v>
      </c>
      <c r="C318" s="404" t="s">
        <v>1795</v>
      </c>
      <c r="D318" s="404" t="s">
        <v>904</v>
      </c>
      <c r="F318" s="404">
        <v>1</v>
      </c>
      <c r="G318" s="404">
        <v>2</v>
      </c>
      <c r="H318" s="404">
        <v>2</v>
      </c>
      <c r="I318" s="404">
        <v>2</v>
      </c>
      <c r="J318" s="404">
        <v>1</v>
      </c>
      <c r="K318" s="404">
        <v>1</v>
      </c>
      <c r="L318" s="404">
        <v>2</v>
      </c>
      <c r="M318" s="404">
        <v>1</v>
      </c>
      <c r="N318" s="404">
        <v>1</v>
      </c>
      <c r="O318" s="404">
        <v>1</v>
      </c>
      <c r="P318" s="404">
        <v>2</v>
      </c>
      <c r="Q318" s="404">
        <v>2</v>
      </c>
      <c r="R318" s="404">
        <v>2</v>
      </c>
      <c r="S318" s="404">
        <v>1</v>
      </c>
      <c r="T318" s="404">
        <v>2</v>
      </c>
      <c r="U318" s="404">
        <v>2</v>
      </c>
      <c r="V318" s="404">
        <v>2</v>
      </c>
      <c r="W318" s="404">
        <v>2</v>
      </c>
      <c r="X318" s="404">
        <v>1</v>
      </c>
      <c r="Y318" s="404">
        <v>2</v>
      </c>
      <c r="Z318" s="404">
        <v>2</v>
      </c>
      <c r="AA318" s="404">
        <v>1</v>
      </c>
      <c r="AB318" s="404">
        <v>2</v>
      </c>
      <c r="AC318" s="404">
        <v>1</v>
      </c>
      <c r="AD318" s="404">
        <v>1</v>
      </c>
      <c r="AE318" s="404">
        <v>1</v>
      </c>
      <c r="AF318" s="404">
        <v>2</v>
      </c>
      <c r="AG318" s="404">
        <v>2</v>
      </c>
      <c r="AH318" s="404">
        <v>2</v>
      </c>
      <c r="AI318" s="404">
        <v>2</v>
      </c>
      <c r="AJ318" s="404">
        <v>1</v>
      </c>
      <c r="AK318" s="404">
        <v>2</v>
      </c>
      <c r="AL318" s="404">
        <v>2</v>
      </c>
      <c r="AM318" s="404">
        <v>2</v>
      </c>
      <c r="AN318" s="404">
        <v>2</v>
      </c>
      <c r="AO318" s="404">
        <v>1</v>
      </c>
      <c r="AP318" s="404">
        <v>1</v>
      </c>
      <c r="AQ318" s="404">
        <v>2</v>
      </c>
      <c r="AR318" s="404">
        <v>0</v>
      </c>
      <c r="AS318" s="404">
        <v>2</v>
      </c>
      <c r="AT318" s="404">
        <v>1</v>
      </c>
      <c r="AU318" s="404">
        <v>1</v>
      </c>
      <c r="AV318" s="404">
        <v>1</v>
      </c>
      <c r="AW318" s="404">
        <v>1</v>
      </c>
      <c r="AX318" s="404">
        <v>1</v>
      </c>
      <c r="AY318" s="404">
        <v>1</v>
      </c>
      <c r="AZ318" s="404">
        <v>2</v>
      </c>
      <c r="BA318" s="404">
        <v>1</v>
      </c>
      <c r="BB318" s="404">
        <v>1</v>
      </c>
      <c r="BC318" s="404">
        <v>2</v>
      </c>
      <c r="BD318" s="404">
        <v>2</v>
      </c>
      <c r="BE318" s="404">
        <v>2</v>
      </c>
      <c r="BF318" s="404">
        <v>1</v>
      </c>
      <c r="BG318" s="404">
        <v>2</v>
      </c>
      <c r="BH318" s="404">
        <v>1</v>
      </c>
      <c r="BI318" s="404">
        <v>2</v>
      </c>
      <c r="BJ318" s="404">
        <v>2</v>
      </c>
      <c r="BK318" s="404">
        <v>2</v>
      </c>
      <c r="BL318" s="404">
        <v>2</v>
      </c>
      <c r="BM318" s="404">
        <v>2</v>
      </c>
      <c r="BN318" s="404">
        <v>2</v>
      </c>
      <c r="BO318" s="404">
        <v>1</v>
      </c>
      <c r="BP318" s="404">
        <v>2</v>
      </c>
      <c r="BQ318" s="404">
        <v>2</v>
      </c>
      <c r="BR318" s="404">
        <v>2</v>
      </c>
      <c r="BS318" s="404">
        <v>1</v>
      </c>
      <c r="BT318" s="404">
        <v>2</v>
      </c>
      <c r="BU318" s="404">
        <v>2</v>
      </c>
      <c r="BV318" s="404">
        <v>1</v>
      </c>
      <c r="BW318" s="404">
        <v>0</v>
      </c>
      <c r="BX318" s="404">
        <v>2</v>
      </c>
      <c r="BY318" s="404">
        <v>2</v>
      </c>
      <c r="BZ318" s="404">
        <v>1</v>
      </c>
      <c r="CA318" s="404">
        <v>0</v>
      </c>
      <c r="CB318" s="404">
        <v>2</v>
      </c>
      <c r="CC318" s="404">
        <v>2</v>
      </c>
      <c r="CD318" s="404">
        <v>2</v>
      </c>
      <c r="CE318" s="404">
        <v>2</v>
      </c>
      <c r="CF318" s="404">
        <v>2</v>
      </c>
      <c r="CG318" s="404">
        <v>2</v>
      </c>
      <c r="CH318" s="404">
        <v>2</v>
      </c>
      <c r="CI318" s="404">
        <v>2</v>
      </c>
      <c r="CJ318" s="404">
        <v>2</v>
      </c>
      <c r="CK318" s="404">
        <v>2</v>
      </c>
      <c r="CL318" s="404">
        <v>1</v>
      </c>
      <c r="CM318" s="404">
        <v>2</v>
      </c>
      <c r="CN318" s="404">
        <v>1</v>
      </c>
      <c r="CO318" s="404">
        <v>2</v>
      </c>
      <c r="CP318" s="404">
        <v>1</v>
      </c>
      <c r="CQ318" s="404">
        <v>1</v>
      </c>
      <c r="CR318" s="404">
        <v>2</v>
      </c>
    </row>
    <row r="319" spans="1:96" s="404" customFormat="1" x14ac:dyDescent="0.3">
      <c r="A319" s="404">
        <v>951</v>
      </c>
      <c r="B319" s="404">
        <v>951</v>
      </c>
      <c r="C319" s="404" t="s">
        <v>1795</v>
      </c>
      <c r="D319" s="404" t="s">
        <v>905</v>
      </c>
      <c r="F319" s="404">
        <v>2</v>
      </c>
      <c r="G319" s="404">
        <v>2</v>
      </c>
      <c r="H319" s="404">
        <v>2</v>
      </c>
      <c r="I319" s="404">
        <v>2</v>
      </c>
      <c r="J319" s="404">
        <v>2</v>
      </c>
      <c r="K319" s="404">
        <v>2</v>
      </c>
      <c r="L319" s="404">
        <v>2</v>
      </c>
      <c r="M319" s="404">
        <v>2</v>
      </c>
      <c r="N319" s="404">
        <v>2</v>
      </c>
      <c r="O319" s="404">
        <v>2</v>
      </c>
      <c r="P319" s="404">
        <v>2</v>
      </c>
      <c r="Q319" s="404">
        <v>2</v>
      </c>
      <c r="R319" s="404">
        <v>2</v>
      </c>
      <c r="S319" s="404">
        <v>2</v>
      </c>
      <c r="T319" s="404">
        <v>2</v>
      </c>
      <c r="U319" s="404">
        <v>2</v>
      </c>
      <c r="V319" s="404">
        <v>2</v>
      </c>
      <c r="W319" s="404">
        <v>2</v>
      </c>
      <c r="X319" s="404">
        <v>2</v>
      </c>
      <c r="Y319" s="404">
        <v>2</v>
      </c>
      <c r="Z319" s="404">
        <v>2</v>
      </c>
      <c r="AA319" s="404">
        <v>2</v>
      </c>
      <c r="AB319" s="404">
        <v>2</v>
      </c>
      <c r="AC319" s="404">
        <v>2</v>
      </c>
      <c r="AD319" s="404">
        <v>2</v>
      </c>
      <c r="AE319" s="404">
        <v>2</v>
      </c>
      <c r="AF319" s="404">
        <v>2</v>
      </c>
      <c r="AG319" s="404">
        <v>2</v>
      </c>
      <c r="AH319" s="404">
        <v>2</v>
      </c>
      <c r="AI319" s="404">
        <v>2</v>
      </c>
      <c r="AJ319" s="404">
        <v>2</v>
      </c>
      <c r="AK319" s="404">
        <v>2</v>
      </c>
      <c r="AL319" s="404">
        <v>2</v>
      </c>
      <c r="AM319" s="404">
        <v>2</v>
      </c>
      <c r="AN319" s="404">
        <v>2</v>
      </c>
      <c r="AO319" s="404">
        <v>2</v>
      </c>
      <c r="AP319" s="404">
        <v>2</v>
      </c>
      <c r="AQ319" s="404">
        <v>2</v>
      </c>
      <c r="AR319" s="404">
        <v>0</v>
      </c>
      <c r="AS319" s="404">
        <v>2</v>
      </c>
      <c r="AT319" s="404">
        <v>2</v>
      </c>
      <c r="AU319" s="404">
        <v>1</v>
      </c>
      <c r="AV319" s="404">
        <v>1</v>
      </c>
      <c r="AW319" s="404">
        <v>2</v>
      </c>
      <c r="AX319" s="404">
        <v>2</v>
      </c>
      <c r="AY319" s="404">
        <v>2</v>
      </c>
      <c r="AZ319" s="404">
        <v>2</v>
      </c>
      <c r="BA319" s="404">
        <v>2</v>
      </c>
      <c r="BB319" s="404">
        <v>2</v>
      </c>
      <c r="BC319" s="404">
        <v>2</v>
      </c>
      <c r="BD319" s="404">
        <v>2</v>
      </c>
      <c r="BE319" s="404">
        <v>2</v>
      </c>
      <c r="BF319" s="404">
        <v>1</v>
      </c>
      <c r="BG319" s="404">
        <v>2</v>
      </c>
      <c r="BH319" s="404">
        <v>2</v>
      </c>
      <c r="BI319" s="404">
        <v>2</v>
      </c>
      <c r="BJ319" s="404">
        <v>2</v>
      </c>
      <c r="BK319" s="404">
        <v>2</v>
      </c>
      <c r="BL319" s="404">
        <v>2</v>
      </c>
      <c r="BM319" s="404">
        <v>2</v>
      </c>
      <c r="BN319" s="404">
        <v>2</v>
      </c>
      <c r="BO319" s="404">
        <v>2</v>
      </c>
      <c r="BP319" s="404">
        <v>2</v>
      </c>
      <c r="BQ319" s="404">
        <v>2</v>
      </c>
      <c r="BR319" s="404">
        <v>2</v>
      </c>
      <c r="BS319" s="404">
        <v>2</v>
      </c>
      <c r="BT319" s="404">
        <v>2</v>
      </c>
      <c r="BU319" s="404">
        <v>2</v>
      </c>
      <c r="BV319" s="404">
        <v>2</v>
      </c>
      <c r="BW319" s="404">
        <v>0</v>
      </c>
      <c r="BX319" s="404">
        <v>2</v>
      </c>
      <c r="BY319" s="404">
        <v>2</v>
      </c>
      <c r="BZ319" s="404">
        <v>2</v>
      </c>
      <c r="CA319" s="404">
        <v>0</v>
      </c>
      <c r="CB319" s="404">
        <v>2</v>
      </c>
      <c r="CC319" s="404">
        <v>2</v>
      </c>
      <c r="CD319" s="404">
        <v>2</v>
      </c>
      <c r="CE319" s="404">
        <v>2</v>
      </c>
      <c r="CF319" s="404">
        <v>2</v>
      </c>
      <c r="CG319" s="404">
        <v>2</v>
      </c>
      <c r="CH319" s="404">
        <v>2</v>
      </c>
      <c r="CI319" s="404">
        <v>2</v>
      </c>
      <c r="CJ319" s="404">
        <v>2</v>
      </c>
      <c r="CK319" s="404">
        <v>2</v>
      </c>
      <c r="CL319" s="404">
        <v>2</v>
      </c>
      <c r="CM319" s="404">
        <v>2</v>
      </c>
      <c r="CN319" s="404">
        <v>2</v>
      </c>
      <c r="CO319" s="404">
        <v>2</v>
      </c>
      <c r="CP319" s="404">
        <v>2</v>
      </c>
      <c r="CQ319" s="404">
        <v>2</v>
      </c>
      <c r="CR319" s="404">
        <v>2</v>
      </c>
    </row>
    <row r="320" spans="1:96" s="404" customFormat="1" x14ac:dyDescent="0.3">
      <c r="A320" s="404">
        <v>953</v>
      </c>
      <c r="B320" s="404">
        <v>953</v>
      </c>
      <c r="C320" s="404" t="s">
        <v>1795</v>
      </c>
      <c r="D320" s="404" t="s">
        <v>906</v>
      </c>
      <c r="F320" s="404">
        <v>2</v>
      </c>
      <c r="G320" s="404">
        <v>2</v>
      </c>
      <c r="H320" s="404">
        <v>2</v>
      </c>
      <c r="I320" s="404">
        <v>2</v>
      </c>
      <c r="J320" s="404">
        <v>2</v>
      </c>
      <c r="K320" s="404">
        <v>2</v>
      </c>
      <c r="L320" s="404">
        <v>2</v>
      </c>
      <c r="M320" s="404">
        <v>2</v>
      </c>
      <c r="N320" s="404">
        <v>2</v>
      </c>
      <c r="O320" s="404">
        <v>2</v>
      </c>
      <c r="P320" s="404">
        <v>2</v>
      </c>
      <c r="Q320" s="404">
        <v>2</v>
      </c>
      <c r="R320" s="404">
        <v>2</v>
      </c>
      <c r="S320" s="404">
        <v>2</v>
      </c>
      <c r="T320" s="404">
        <v>2</v>
      </c>
      <c r="U320" s="404">
        <v>2</v>
      </c>
      <c r="V320" s="404">
        <v>2</v>
      </c>
      <c r="W320" s="404">
        <v>2</v>
      </c>
      <c r="X320" s="404">
        <v>2</v>
      </c>
      <c r="Y320" s="404">
        <v>2</v>
      </c>
      <c r="Z320" s="404">
        <v>2</v>
      </c>
      <c r="AA320" s="404">
        <v>2</v>
      </c>
      <c r="AB320" s="404">
        <v>2</v>
      </c>
      <c r="AC320" s="404">
        <v>2</v>
      </c>
      <c r="AD320" s="404">
        <v>2</v>
      </c>
      <c r="AE320" s="404">
        <v>2</v>
      </c>
      <c r="AF320" s="404">
        <v>2</v>
      </c>
      <c r="AG320" s="404">
        <v>2</v>
      </c>
      <c r="AH320" s="404">
        <v>2</v>
      </c>
      <c r="AI320" s="404">
        <v>2</v>
      </c>
      <c r="AJ320" s="404">
        <v>2</v>
      </c>
      <c r="AK320" s="404">
        <v>2</v>
      </c>
      <c r="AL320" s="404">
        <v>2</v>
      </c>
      <c r="AM320" s="404">
        <v>2</v>
      </c>
      <c r="AN320" s="404">
        <v>2</v>
      </c>
      <c r="AO320" s="404">
        <v>2</v>
      </c>
      <c r="AP320" s="404">
        <v>2</v>
      </c>
      <c r="AQ320" s="404">
        <v>2</v>
      </c>
      <c r="AR320" s="404">
        <v>0</v>
      </c>
      <c r="AS320" s="404">
        <v>2</v>
      </c>
      <c r="AT320" s="404">
        <v>2</v>
      </c>
      <c r="AU320" s="404">
        <v>2</v>
      </c>
      <c r="AV320" s="404">
        <v>2</v>
      </c>
      <c r="AW320" s="404">
        <v>2</v>
      </c>
      <c r="AX320" s="404">
        <v>2</v>
      </c>
      <c r="AY320" s="404">
        <v>2</v>
      </c>
      <c r="AZ320" s="404">
        <v>2</v>
      </c>
      <c r="BA320" s="404">
        <v>2</v>
      </c>
      <c r="BB320" s="404">
        <v>2</v>
      </c>
      <c r="BC320" s="404">
        <v>2</v>
      </c>
      <c r="BD320" s="404">
        <v>2</v>
      </c>
      <c r="BE320" s="404">
        <v>2</v>
      </c>
      <c r="BF320" s="404">
        <v>2</v>
      </c>
      <c r="BG320" s="404">
        <v>2</v>
      </c>
      <c r="BH320" s="404">
        <v>2</v>
      </c>
      <c r="BI320" s="404">
        <v>2</v>
      </c>
      <c r="BJ320" s="404">
        <v>2</v>
      </c>
      <c r="BK320" s="404">
        <v>2</v>
      </c>
      <c r="BL320" s="404">
        <v>2</v>
      </c>
      <c r="BM320" s="404">
        <v>2</v>
      </c>
      <c r="BN320" s="404">
        <v>2</v>
      </c>
      <c r="BO320" s="404">
        <v>2</v>
      </c>
      <c r="BP320" s="404">
        <v>2</v>
      </c>
      <c r="BQ320" s="404">
        <v>2</v>
      </c>
      <c r="BR320" s="404">
        <v>2</v>
      </c>
      <c r="BS320" s="404">
        <v>2</v>
      </c>
      <c r="BT320" s="404">
        <v>2</v>
      </c>
      <c r="BU320" s="404">
        <v>2</v>
      </c>
      <c r="BV320" s="404">
        <v>2</v>
      </c>
      <c r="BW320" s="404">
        <v>0</v>
      </c>
      <c r="BX320" s="404">
        <v>2</v>
      </c>
      <c r="BY320" s="404">
        <v>2</v>
      </c>
      <c r="BZ320" s="404">
        <v>2</v>
      </c>
      <c r="CA320" s="404">
        <v>0</v>
      </c>
      <c r="CB320" s="404">
        <v>2</v>
      </c>
      <c r="CC320" s="404">
        <v>2</v>
      </c>
      <c r="CD320" s="404">
        <v>2</v>
      </c>
      <c r="CE320" s="404">
        <v>2</v>
      </c>
      <c r="CF320" s="404">
        <v>2</v>
      </c>
      <c r="CG320" s="404">
        <v>2</v>
      </c>
      <c r="CH320" s="404">
        <v>2</v>
      </c>
      <c r="CI320" s="404">
        <v>2</v>
      </c>
      <c r="CJ320" s="404">
        <v>2</v>
      </c>
      <c r="CK320" s="404">
        <v>2</v>
      </c>
      <c r="CL320" s="404">
        <v>2</v>
      </c>
      <c r="CM320" s="404">
        <v>2</v>
      </c>
      <c r="CN320" s="404">
        <v>2</v>
      </c>
      <c r="CO320" s="404">
        <v>2</v>
      </c>
      <c r="CP320" s="404">
        <v>2</v>
      </c>
      <c r="CQ320" s="404">
        <v>2</v>
      </c>
      <c r="CR320" s="404">
        <v>2</v>
      </c>
    </row>
    <row r="321" spans="1:96" s="404" customFormat="1" x14ac:dyDescent="0.3">
      <c r="A321" s="404">
        <v>955</v>
      </c>
      <c r="B321" s="404">
        <v>955</v>
      </c>
      <c r="C321" s="404" t="s">
        <v>1795</v>
      </c>
      <c r="D321" s="404" t="s">
        <v>916</v>
      </c>
      <c r="F321" s="404">
        <v>1</v>
      </c>
      <c r="G321" s="404">
        <v>0</v>
      </c>
      <c r="H321" s="404">
        <v>0</v>
      </c>
      <c r="I321" s="404">
        <v>0</v>
      </c>
      <c r="J321" s="404">
        <v>0</v>
      </c>
      <c r="K321" s="404">
        <v>0</v>
      </c>
      <c r="L321" s="404">
        <v>0</v>
      </c>
      <c r="M321" s="404">
        <v>0</v>
      </c>
      <c r="N321" s="404">
        <v>0</v>
      </c>
      <c r="O321" s="404">
        <v>0</v>
      </c>
      <c r="P321" s="404">
        <v>0</v>
      </c>
      <c r="Q321" s="404">
        <v>0</v>
      </c>
      <c r="R321" s="404">
        <v>0</v>
      </c>
      <c r="S321" s="404">
        <v>0</v>
      </c>
      <c r="T321" s="404">
        <v>0</v>
      </c>
      <c r="U321" s="404">
        <v>0</v>
      </c>
      <c r="V321" s="404">
        <v>0</v>
      </c>
      <c r="W321" s="404">
        <v>0</v>
      </c>
      <c r="X321" s="404">
        <v>0</v>
      </c>
      <c r="Y321" s="404">
        <v>0</v>
      </c>
      <c r="Z321" s="404">
        <v>0</v>
      </c>
      <c r="AA321" s="404">
        <v>1</v>
      </c>
      <c r="AB321" s="404">
        <v>0</v>
      </c>
      <c r="AC321" s="404">
        <v>0</v>
      </c>
      <c r="AD321" s="404">
        <v>1</v>
      </c>
      <c r="AE321" s="404">
        <v>3</v>
      </c>
      <c r="AF321" s="404">
        <v>0</v>
      </c>
      <c r="AG321" s="404">
        <v>0</v>
      </c>
      <c r="AH321" s="404">
        <v>0</v>
      </c>
      <c r="AI321" s="404">
        <v>0</v>
      </c>
      <c r="AJ321" s="404">
        <v>0</v>
      </c>
      <c r="AK321" s="404">
        <v>0</v>
      </c>
      <c r="AL321" s="404">
        <v>0</v>
      </c>
      <c r="AM321" s="404">
        <v>1</v>
      </c>
      <c r="AN321" s="404">
        <v>0</v>
      </c>
      <c r="AO321" s="404">
        <v>1</v>
      </c>
      <c r="AP321" s="404">
        <v>0</v>
      </c>
      <c r="AQ321" s="404">
        <v>0</v>
      </c>
      <c r="AR321" s="404">
        <v>0</v>
      </c>
      <c r="AS321" s="404">
        <v>0</v>
      </c>
      <c r="AT321" s="404">
        <v>0</v>
      </c>
      <c r="AU321" s="404">
        <v>1</v>
      </c>
      <c r="AV321" s="404">
        <v>0</v>
      </c>
      <c r="AW321" s="404">
        <v>0</v>
      </c>
      <c r="AX321" s="404">
        <v>0</v>
      </c>
      <c r="AY321" s="404">
        <v>0</v>
      </c>
      <c r="AZ321" s="404">
        <v>0</v>
      </c>
      <c r="BA321" s="404">
        <v>0</v>
      </c>
      <c r="BB321" s="404">
        <v>0</v>
      </c>
      <c r="BC321" s="404">
        <v>0</v>
      </c>
      <c r="BD321" s="404">
        <v>0</v>
      </c>
      <c r="BE321" s="404">
        <v>3</v>
      </c>
      <c r="BF321" s="404">
        <v>0</v>
      </c>
      <c r="BG321" s="404">
        <v>0</v>
      </c>
      <c r="BH321" s="404">
        <v>0</v>
      </c>
      <c r="BI321" s="404">
        <v>0</v>
      </c>
      <c r="BJ321" s="404">
        <v>0</v>
      </c>
      <c r="BK321" s="404">
        <v>0</v>
      </c>
      <c r="BL321" s="404">
        <v>0</v>
      </c>
      <c r="BM321" s="404">
        <v>0</v>
      </c>
      <c r="BN321" s="404">
        <v>0</v>
      </c>
      <c r="BO321" s="404">
        <v>0</v>
      </c>
      <c r="BP321" s="404">
        <v>0</v>
      </c>
      <c r="BQ321" s="404">
        <v>0</v>
      </c>
      <c r="BR321" s="404">
        <v>0</v>
      </c>
      <c r="BS321" s="404">
        <v>0</v>
      </c>
      <c r="BT321" s="404">
        <v>0</v>
      </c>
      <c r="BU321" s="404">
        <v>0</v>
      </c>
      <c r="BV321" s="404">
        <v>0</v>
      </c>
      <c r="BW321" s="404">
        <v>0</v>
      </c>
      <c r="BX321" s="404">
        <v>0</v>
      </c>
      <c r="BY321" s="404">
        <v>0</v>
      </c>
      <c r="BZ321" s="404">
        <v>0</v>
      </c>
      <c r="CA321" s="404">
        <v>0</v>
      </c>
      <c r="CB321" s="404">
        <v>0</v>
      </c>
      <c r="CC321" s="404">
        <v>0</v>
      </c>
      <c r="CD321" s="404">
        <v>0</v>
      </c>
      <c r="CE321" s="404">
        <v>0</v>
      </c>
      <c r="CF321" s="404">
        <v>1</v>
      </c>
      <c r="CG321" s="404">
        <v>0</v>
      </c>
      <c r="CH321" s="404">
        <v>0</v>
      </c>
      <c r="CI321" s="404">
        <v>0</v>
      </c>
      <c r="CJ321" s="404">
        <v>0</v>
      </c>
      <c r="CK321" s="404">
        <v>0</v>
      </c>
      <c r="CL321" s="404">
        <v>0</v>
      </c>
      <c r="CM321" s="404">
        <v>0</v>
      </c>
      <c r="CN321" s="404">
        <v>0</v>
      </c>
      <c r="CO321" s="404">
        <v>0</v>
      </c>
      <c r="CP321" s="404">
        <v>0</v>
      </c>
      <c r="CQ321" s="404">
        <v>0</v>
      </c>
      <c r="CR321" s="404">
        <v>0</v>
      </c>
    </row>
    <row r="322" spans="1:96" s="404" customFormat="1" x14ac:dyDescent="0.3">
      <c r="A322" s="404">
        <v>957</v>
      </c>
      <c r="B322" s="404">
        <v>957</v>
      </c>
      <c r="C322" s="404" t="s">
        <v>1795</v>
      </c>
      <c r="D322" s="404" t="s">
        <v>917</v>
      </c>
      <c r="F322" s="404">
        <v>0</v>
      </c>
      <c r="G322" s="404">
        <v>0</v>
      </c>
      <c r="H322" s="404">
        <v>0</v>
      </c>
      <c r="I322" s="404">
        <v>1</v>
      </c>
      <c r="J322" s="404">
        <v>0</v>
      </c>
      <c r="K322" s="404">
        <v>0</v>
      </c>
      <c r="L322" s="404">
        <v>0</v>
      </c>
      <c r="M322" s="404">
        <v>0</v>
      </c>
      <c r="N322" s="404">
        <v>0</v>
      </c>
      <c r="O322" s="404">
        <v>0</v>
      </c>
      <c r="P322" s="404">
        <v>0</v>
      </c>
      <c r="Q322" s="404">
        <v>0</v>
      </c>
      <c r="R322" s="404">
        <v>0</v>
      </c>
      <c r="S322" s="404">
        <v>1</v>
      </c>
      <c r="T322" s="404">
        <v>0</v>
      </c>
      <c r="U322" s="404">
        <v>0</v>
      </c>
      <c r="V322" s="404">
        <v>2</v>
      </c>
      <c r="W322" s="404">
        <v>0</v>
      </c>
      <c r="X322" s="404">
        <v>0</v>
      </c>
      <c r="Y322" s="404">
        <v>0</v>
      </c>
      <c r="Z322" s="404">
        <v>0</v>
      </c>
      <c r="AA322" s="404">
        <v>0</v>
      </c>
      <c r="AB322" s="404">
        <v>0</v>
      </c>
      <c r="AC322" s="404">
        <v>1</v>
      </c>
      <c r="AD322" s="404">
        <v>0</v>
      </c>
      <c r="AE322" s="404">
        <v>0</v>
      </c>
      <c r="AF322" s="404">
        <v>0</v>
      </c>
      <c r="AG322" s="404">
        <v>0</v>
      </c>
      <c r="AH322" s="404">
        <v>0</v>
      </c>
      <c r="AI322" s="404">
        <v>0</v>
      </c>
      <c r="AJ322" s="404">
        <v>1</v>
      </c>
      <c r="AK322" s="404">
        <v>0</v>
      </c>
      <c r="AL322" s="404">
        <v>0</v>
      </c>
      <c r="AM322" s="404">
        <v>0</v>
      </c>
      <c r="AN322" s="404">
        <v>4</v>
      </c>
      <c r="AO322" s="404">
        <v>0</v>
      </c>
      <c r="AP322" s="404">
        <v>0</v>
      </c>
      <c r="AQ322" s="404">
        <v>0</v>
      </c>
      <c r="AR322" s="404">
        <v>0</v>
      </c>
      <c r="AS322" s="404">
        <v>0</v>
      </c>
      <c r="AT322" s="404">
        <v>1</v>
      </c>
      <c r="AU322" s="404">
        <v>0</v>
      </c>
      <c r="AV322" s="404">
        <v>0</v>
      </c>
      <c r="AW322" s="404">
        <v>0</v>
      </c>
      <c r="AX322" s="404">
        <v>0</v>
      </c>
      <c r="AY322" s="404">
        <v>0</v>
      </c>
      <c r="AZ322" s="404">
        <v>0</v>
      </c>
      <c r="BA322" s="404">
        <v>0</v>
      </c>
      <c r="BB322" s="404">
        <v>0</v>
      </c>
      <c r="BC322" s="404">
        <v>0</v>
      </c>
      <c r="BD322" s="404">
        <v>1</v>
      </c>
      <c r="BE322" s="404">
        <v>0</v>
      </c>
      <c r="BF322" s="404">
        <v>0</v>
      </c>
      <c r="BG322" s="404">
        <v>0</v>
      </c>
      <c r="BH322" s="404">
        <v>0</v>
      </c>
      <c r="BI322" s="404">
        <v>1</v>
      </c>
      <c r="BJ322" s="404">
        <v>0</v>
      </c>
      <c r="BK322" s="404">
        <v>0</v>
      </c>
      <c r="BL322" s="404">
        <v>0</v>
      </c>
      <c r="BM322" s="404">
        <v>0</v>
      </c>
      <c r="BN322" s="404">
        <v>0</v>
      </c>
      <c r="BO322" s="404">
        <v>0</v>
      </c>
      <c r="BP322" s="404">
        <v>0</v>
      </c>
      <c r="BQ322" s="404">
        <v>0</v>
      </c>
      <c r="BR322" s="404">
        <v>0</v>
      </c>
      <c r="BS322" s="404">
        <v>0</v>
      </c>
      <c r="BT322" s="404">
        <v>0</v>
      </c>
      <c r="BU322" s="404">
        <v>0</v>
      </c>
      <c r="BV322" s="404">
        <v>0</v>
      </c>
      <c r="BW322" s="404">
        <v>0</v>
      </c>
      <c r="BX322" s="404">
        <v>1</v>
      </c>
      <c r="BY322" s="404">
        <v>1</v>
      </c>
      <c r="BZ322" s="404">
        <v>0</v>
      </c>
      <c r="CA322" s="404">
        <v>0</v>
      </c>
      <c r="CB322" s="404">
        <v>0</v>
      </c>
      <c r="CC322" s="404">
        <v>1</v>
      </c>
      <c r="CD322" s="404">
        <v>0</v>
      </c>
      <c r="CE322" s="404">
        <v>1</v>
      </c>
      <c r="CF322" s="404">
        <v>2</v>
      </c>
      <c r="CG322" s="404">
        <v>0</v>
      </c>
      <c r="CH322" s="404">
        <v>1</v>
      </c>
      <c r="CI322" s="404">
        <v>0</v>
      </c>
      <c r="CJ322" s="404">
        <v>0</v>
      </c>
      <c r="CK322" s="404">
        <v>0</v>
      </c>
      <c r="CL322" s="404">
        <v>0</v>
      </c>
      <c r="CM322" s="404">
        <v>0</v>
      </c>
      <c r="CN322" s="404">
        <v>1</v>
      </c>
      <c r="CO322" s="404">
        <v>0</v>
      </c>
      <c r="CP322" s="404">
        <v>0</v>
      </c>
      <c r="CQ322" s="404">
        <v>0</v>
      </c>
      <c r="CR322" s="404">
        <v>0</v>
      </c>
    </row>
    <row r="323" spans="1:96" s="404" customFormat="1" x14ac:dyDescent="0.3">
      <c r="A323" s="404">
        <v>959</v>
      </c>
      <c r="B323" s="404">
        <v>959</v>
      </c>
      <c r="C323" s="404" t="s">
        <v>1795</v>
      </c>
      <c r="D323" s="404" t="s">
        <v>907</v>
      </c>
      <c r="F323" s="404">
        <v>3</v>
      </c>
      <c r="G323" s="404">
        <v>2</v>
      </c>
      <c r="H323" s="404">
        <v>2</v>
      </c>
      <c r="I323" s="404">
        <v>2</v>
      </c>
      <c r="J323" s="404">
        <v>2</v>
      </c>
      <c r="K323" s="404">
        <v>2</v>
      </c>
      <c r="L323" s="404">
        <v>2</v>
      </c>
      <c r="M323" s="404">
        <v>2</v>
      </c>
      <c r="N323" s="404">
        <v>2</v>
      </c>
      <c r="O323" s="404">
        <v>2</v>
      </c>
      <c r="P323" s="404">
        <v>3</v>
      </c>
      <c r="Q323" s="404">
        <v>3</v>
      </c>
      <c r="R323" s="404">
        <v>2</v>
      </c>
      <c r="S323" s="404">
        <v>2</v>
      </c>
      <c r="T323" s="404">
        <v>3</v>
      </c>
      <c r="U323" s="404">
        <v>3</v>
      </c>
      <c r="V323" s="404">
        <v>3</v>
      </c>
      <c r="W323" s="404">
        <v>2</v>
      </c>
      <c r="X323" s="404">
        <v>2</v>
      </c>
      <c r="Y323" s="404">
        <v>2</v>
      </c>
      <c r="Z323" s="404">
        <v>2</v>
      </c>
      <c r="AA323" s="404">
        <v>3</v>
      </c>
      <c r="AB323" s="404">
        <v>2</v>
      </c>
      <c r="AC323" s="404">
        <v>2</v>
      </c>
      <c r="AD323" s="404">
        <v>2</v>
      </c>
      <c r="AE323" s="404">
        <v>2</v>
      </c>
      <c r="AF323" s="404">
        <v>2</v>
      </c>
      <c r="AG323" s="404">
        <v>2</v>
      </c>
      <c r="AH323" s="404">
        <v>2</v>
      </c>
      <c r="AI323" s="404">
        <v>3</v>
      </c>
      <c r="AJ323" s="404">
        <v>3</v>
      </c>
      <c r="AK323" s="404">
        <v>2</v>
      </c>
      <c r="AL323" s="404">
        <v>2</v>
      </c>
      <c r="AM323" s="404">
        <v>2</v>
      </c>
      <c r="AN323" s="404">
        <v>2</v>
      </c>
      <c r="AO323" s="404">
        <v>2</v>
      </c>
      <c r="AP323" s="404">
        <v>2</v>
      </c>
      <c r="AQ323" s="404">
        <v>2</v>
      </c>
      <c r="AR323" s="404">
        <v>0</v>
      </c>
      <c r="AS323" s="404">
        <v>2</v>
      </c>
      <c r="AT323" s="404">
        <v>3</v>
      </c>
      <c r="AU323" s="404">
        <v>2</v>
      </c>
      <c r="AV323" s="404">
        <v>3</v>
      </c>
      <c r="AW323" s="404">
        <v>2</v>
      </c>
      <c r="AX323" s="404">
        <v>2</v>
      </c>
      <c r="AY323" s="404">
        <v>2</v>
      </c>
      <c r="AZ323" s="404">
        <v>1</v>
      </c>
      <c r="BA323" s="404">
        <v>3</v>
      </c>
      <c r="BB323" s="404">
        <v>2</v>
      </c>
      <c r="BC323" s="404">
        <v>2</v>
      </c>
      <c r="BD323" s="404">
        <v>2</v>
      </c>
      <c r="BE323" s="404">
        <v>2</v>
      </c>
      <c r="BF323" s="404">
        <v>3</v>
      </c>
      <c r="BG323" s="404">
        <v>2</v>
      </c>
      <c r="BH323" s="404">
        <v>2</v>
      </c>
      <c r="BI323" s="404">
        <v>2</v>
      </c>
      <c r="BJ323" s="404">
        <v>2</v>
      </c>
      <c r="BK323" s="404">
        <v>3</v>
      </c>
      <c r="BL323" s="404">
        <v>2</v>
      </c>
      <c r="BM323" s="404">
        <v>2</v>
      </c>
      <c r="BN323" s="404">
        <v>2</v>
      </c>
      <c r="BO323" s="404">
        <v>3</v>
      </c>
      <c r="BP323" s="404">
        <v>2</v>
      </c>
      <c r="BQ323" s="404">
        <v>2</v>
      </c>
      <c r="BR323" s="404">
        <v>2</v>
      </c>
      <c r="BS323" s="404">
        <v>3</v>
      </c>
      <c r="BT323" s="404">
        <v>3</v>
      </c>
      <c r="BU323" s="404">
        <v>2</v>
      </c>
      <c r="BV323" s="404">
        <v>2</v>
      </c>
      <c r="BW323" s="404">
        <v>0</v>
      </c>
      <c r="BX323" s="404">
        <v>2</v>
      </c>
      <c r="BY323" s="404">
        <v>2</v>
      </c>
      <c r="BZ323" s="404">
        <v>2</v>
      </c>
      <c r="CA323" s="404">
        <v>0</v>
      </c>
      <c r="CB323" s="404">
        <v>2</v>
      </c>
      <c r="CC323" s="404">
        <v>2</v>
      </c>
      <c r="CD323" s="404">
        <v>2</v>
      </c>
      <c r="CE323" s="404">
        <v>2</v>
      </c>
      <c r="CF323" s="404">
        <v>2</v>
      </c>
      <c r="CG323" s="404">
        <v>2</v>
      </c>
      <c r="CH323" s="404">
        <v>2</v>
      </c>
      <c r="CI323" s="404">
        <v>1</v>
      </c>
      <c r="CJ323" s="404">
        <v>2</v>
      </c>
      <c r="CK323" s="404">
        <v>2</v>
      </c>
      <c r="CL323" s="404">
        <v>2</v>
      </c>
      <c r="CM323" s="404">
        <v>2</v>
      </c>
      <c r="CN323" s="404">
        <v>2</v>
      </c>
      <c r="CO323" s="404">
        <v>3</v>
      </c>
      <c r="CP323" s="404">
        <v>2</v>
      </c>
      <c r="CQ323" s="404">
        <v>2</v>
      </c>
      <c r="CR323" s="404">
        <v>2</v>
      </c>
    </row>
    <row r="324" spans="1:96" s="404" customFormat="1" x14ac:dyDescent="0.3">
      <c r="A324" s="404">
        <v>961</v>
      </c>
      <c r="B324" s="404">
        <v>961</v>
      </c>
      <c r="C324" s="404" t="s">
        <v>1795</v>
      </c>
      <c r="D324" s="404" t="s">
        <v>908</v>
      </c>
      <c r="F324" s="404">
        <v>3</v>
      </c>
      <c r="G324" s="404">
        <v>2</v>
      </c>
      <c r="H324" s="404">
        <v>2</v>
      </c>
      <c r="I324" s="404">
        <v>2</v>
      </c>
      <c r="J324" s="404">
        <v>2</v>
      </c>
      <c r="K324" s="404">
        <v>2</v>
      </c>
      <c r="L324" s="404">
        <v>2</v>
      </c>
      <c r="M324" s="404">
        <v>2</v>
      </c>
      <c r="N324" s="404">
        <v>2</v>
      </c>
      <c r="O324" s="404">
        <v>2</v>
      </c>
      <c r="P324" s="404">
        <v>3</v>
      </c>
      <c r="Q324" s="404">
        <v>3</v>
      </c>
      <c r="R324" s="404">
        <v>2</v>
      </c>
      <c r="S324" s="404">
        <v>3</v>
      </c>
      <c r="T324" s="404">
        <v>3</v>
      </c>
      <c r="U324" s="404">
        <v>3</v>
      </c>
      <c r="V324" s="404">
        <v>3</v>
      </c>
      <c r="W324" s="404">
        <v>2</v>
      </c>
      <c r="X324" s="404">
        <v>2</v>
      </c>
      <c r="Y324" s="404">
        <v>2</v>
      </c>
      <c r="Z324" s="404">
        <v>2</v>
      </c>
      <c r="AA324" s="404">
        <v>3</v>
      </c>
      <c r="AB324" s="404">
        <v>3</v>
      </c>
      <c r="AC324" s="404">
        <v>2</v>
      </c>
      <c r="AD324" s="404">
        <v>3</v>
      </c>
      <c r="AE324" s="404">
        <v>2</v>
      </c>
      <c r="AF324" s="404">
        <v>2</v>
      </c>
      <c r="AG324" s="404">
        <v>2</v>
      </c>
      <c r="AH324" s="404">
        <v>2</v>
      </c>
      <c r="AI324" s="404">
        <v>3</v>
      </c>
      <c r="AJ324" s="404">
        <v>3</v>
      </c>
      <c r="AK324" s="404">
        <v>2</v>
      </c>
      <c r="AL324" s="404">
        <v>2</v>
      </c>
      <c r="AM324" s="404">
        <v>2</v>
      </c>
      <c r="AN324" s="404">
        <v>2</v>
      </c>
      <c r="AO324" s="404">
        <v>2</v>
      </c>
      <c r="AP324" s="404">
        <v>2</v>
      </c>
      <c r="AQ324" s="404">
        <v>2</v>
      </c>
      <c r="AR324" s="404">
        <v>0</v>
      </c>
      <c r="AS324" s="404">
        <v>2</v>
      </c>
      <c r="AT324" s="404">
        <v>3</v>
      </c>
      <c r="AU324" s="404">
        <v>2</v>
      </c>
      <c r="AV324" s="404">
        <v>3</v>
      </c>
      <c r="AW324" s="404">
        <v>2</v>
      </c>
      <c r="AX324" s="404">
        <v>2</v>
      </c>
      <c r="AY324" s="404">
        <v>2</v>
      </c>
      <c r="AZ324" s="404">
        <v>2</v>
      </c>
      <c r="BA324" s="404">
        <v>3</v>
      </c>
      <c r="BB324" s="404">
        <v>2</v>
      </c>
      <c r="BC324" s="404">
        <v>2</v>
      </c>
      <c r="BD324" s="404">
        <v>2</v>
      </c>
      <c r="BE324" s="404">
        <v>2</v>
      </c>
      <c r="BF324" s="404">
        <v>3</v>
      </c>
      <c r="BG324" s="404">
        <v>2</v>
      </c>
      <c r="BH324" s="404">
        <v>0</v>
      </c>
      <c r="BI324" s="404">
        <v>2</v>
      </c>
      <c r="BJ324" s="404">
        <v>2</v>
      </c>
      <c r="BK324" s="404">
        <v>3</v>
      </c>
      <c r="BL324" s="404">
        <v>2</v>
      </c>
      <c r="BM324" s="404">
        <v>2</v>
      </c>
      <c r="BN324" s="404">
        <v>2</v>
      </c>
      <c r="BO324" s="404">
        <v>3</v>
      </c>
      <c r="BP324" s="404">
        <v>2</v>
      </c>
      <c r="BQ324" s="404">
        <v>2</v>
      </c>
      <c r="BR324" s="404">
        <v>2</v>
      </c>
      <c r="BS324" s="404">
        <v>3</v>
      </c>
      <c r="BT324" s="404">
        <v>3</v>
      </c>
      <c r="BU324" s="404">
        <v>2</v>
      </c>
      <c r="BV324" s="404">
        <v>2</v>
      </c>
      <c r="BW324" s="404">
        <v>0</v>
      </c>
      <c r="BX324" s="404">
        <v>2</v>
      </c>
      <c r="BY324" s="404">
        <v>2</v>
      </c>
      <c r="BZ324" s="404">
        <v>3</v>
      </c>
      <c r="CA324" s="404">
        <v>0</v>
      </c>
      <c r="CB324" s="404">
        <v>2</v>
      </c>
      <c r="CC324" s="404">
        <v>2</v>
      </c>
      <c r="CD324" s="404">
        <v>2</v>
      </c>
      <c r="CE324" s="404">
        <v>2</v>
      </c>
      <c r="CF324" s="404">
        <v>2</v>
      </c>
      <c r="CG324" s="404">
        <v>2</v>
      </c>
      <c r="CH324" s="404">
        <v>2</v>
      </c>
      <c r="CI324" s="404">
        <v>2</v>
      </c>
      <c r="CJ324" s="404">
        <v>2</v>
      </c>
      <c r="CK324" s="404">
        <v>2</v>
      </c>
      <c r="CL324" s="404">
        <v>3</v>
      </c>
      <c r="CM324" s="404">
        <v>2</v>
      </c>
      <c r="CN324" s="404">
        <v>2</v>
      </c>
      <c r="CO324" s="404">
        <v>3</v>
      </c>
      <c r="CP324" s="404">
        <v>3</v>
      </c>
      <c r="CQ324" s="404">
        <v>2</v>
      </c>
      <c r="CR324" s="404">
        <v>2</v>
      </c>
    </row>
    <row r="325" spans="1:96" s="404" customFormat="1" x14ac:dyDescent="0.3">
      <c r="A325" s="404">
        <v>963</v>
      </c>
      <c r="B325" s="404">
        <v>963</v>
      </c>
      <c r="C325" s="404" t="s">
        <v>1795</v>
      </c>
      <c r="D325" s="404" t="s">
        <v>909</v>
      </c>
      <c r="F325" s="404">
        <v>3</v>
      </c>
      <c r="G325" s="404">
        <v>3</v>
      </c>
      <c r="H325" s="404">
        <v>3</v>
      </c>
      <c r="I325" s="404">
        <v>1</v>
      </c>
      <c r="J325" s="404">
        <v>1</v>
      </c>
      <c r="K325" s="404">
        <v>3</v>
      </c>
      <c r="L325" s="404">
        <v>3</v>
      </c>
      <c r="M325" s="404">
        <v>3</v>
      </c>
      <c r="N325" s="404">
        <v>3</v>
      </c>
      <c r="O325" s="404">
        <v>1</v>
      </c>
      <c r="P325" s="404">
        <v>1</v>
      </c>
      <c r="Q325" s="404">
        <v>3</v>
      </c>
      <c r="R325" s="404">
        <v>3</v>
      </c>
      <c r="S325" s="404">
        <v>3</v>
      </c>
      <c r="T325" s="404">
        <v>3</v>
      </c>
      <c r="U325" s="404">
        <v>3</v>
      </c>
      <c r="V325" s="404">
        <v>3</v>
      </c>
      <c r="W325" s="404">
        <v>1</v>
      </c>
      <c r="X325" s="404">
        <v>3</v>
      </c>
      <c r="Y325" s="404">
        <v>1</v>
      </c>
      <c r="Z325" s="404">
        <v>1</v>
      </c>
      <c r="AA325" s="404">
        <v>3</v>
      </c>
      <c r="AB325" s="404">
        <v>3</v>
      </c>
      <c r="AC325" s="404">
        <v>3</v>
      </c>
      <c r="AD325" s="404">
        <v>3</v>
      </c>
      <c r="AE325" s="404">
        <v>1</v>
      </c>
      <c r="AF325" s="404">
        <v>1</v>
      </c>
      <c r="AG325" s="404">
        <v>3</v>
      </c>
      <c r="AH325" s="404">
        <v>3</v>
      </c>
      <c r="AI325" s="404">
        <v>3</v>
      </c>
      <c r="AJ325" s="404">
        <v>3</v>
      </c>
      <c r="AK325" s="404">
        <v>1</v>
      </c>
      <c r="AL325" s="404">
        <v>3</v>
      </c>
      <c r="AM325" s="404">
        <v>3</v>
      </c>
      <c r="AN325" s="404">
        <v>1</v>
      </c>
      <c r="AO325" s="404">
        <v>3</v>
      </c>
      <c r="AP325" s="404">
        <v>3</v>
      </c>
      <c r="AQ325" s="404">
        <v>1</v>
      </c>
      <c r="AR325" s="404">
        <v>0</v>
      </c>
      <c r="AS325" s="404">
        <v>3</v>
      </c>
      <c r="AT325" s="404">
        <v>3</v>
      </c>
      <c r="AU325" s="404">
        <v>3</v>
      </c>
      <c r="AV325" s="404">
        <v>3</v>
      </c>
      <c r="AW325" s="404">
        <v>3</v>
      </c>
      <c r="AX325" s="404">
        <v>3</v>
      </c>
      <c r="AY325" s="404">
        <v>3</v>
      </c>
      <c r="AZ325" s="404">
        <v>1</v>
      </c>
      <c r="BA325" s="404">
        <v>3</v>
      </c>
      <c r="BB325" s="404">
        <v>1</v>
      </c>
      <c r="BC325" s="404">
        <v>3</v>
      </c>
      <c r="BD325" s="404">
        <v>1</v>
      </c>
      <c r="BE325" s="404">
        <v>3</v>
      </c>
      <c r="BF325" s="404">
        <v>3</v>
      </c>
      <c r="BG325" s="404">
        <v>3</v>
      </c>
      <c r="BH325" s="404">
        <v>1</v>
      </c>
      <c r="BI325" s="404">
        <v>1</v>
      </c>
      <c r="BJ325" s="404">
        <v>3</v>
      </c>
      <c r="BK325" s="404">
        <v>3</v>
      </c>
      <c r="BL325" s="404">
        <v>1</v>
      </c>
      <c r="BM325" s="404">
        <v>1</v>
      </c>
      <c r="BN325" s="404">
        <v>3</v>
      </c>
      <c r="BO325" s="404">
        <v>3</v>
      </c>
      <c r="BP325" s="404">
        <v>3</v>
      </c>
      <c r="BQ325" s="404">
        <v>3</v>
      </c>
      <c r="BR325" s="404">
        <v>3</v>
      </c>
      <c r="BS325" s="404">
        <v>3</v>
      </c>
      <c r="BT325" s="404">
        <v>3</v>
      </c>
      <c r="BU325" s="404">
        <v>1</v>
      </c>
      <c r="BV325" s="404">
        <v>3</v>
      </c>
      <c r="BW325" s="404">
        <v>0</v>
      </c>
      <c r="BX325" s="404">
        <v>3</v>
      </c>
      <c r="BY325" s="404">
        <v>1</v>
      </c>
      <c r="BZ325" s="404">
        <v>3</v>
      </c>
      <c r="CA325" s="404">
        <v>0</v>
      </c>
      <c r="CB325" s="404">
        <v>1</v>
      </c>
      <c r="CC325" s="404">
        <v>1</v>
      </c>
      <c r="CD325" s="404">
        <v>1</v>
      </c>
      <c r="CE325" s="404">
        <v>1</v>
      </c>
      <c r="CF325" s="404">
        <v>3</v>
      </c>
      <c r="CG325" s="404">
        <v>3</v>
      </c>
      <c r="CH325" s="404">
        <v>1</v>
      </c>
      <c r="CI325" s="404">
        <v>1</v>
      </c>
      <c r="CJ325" s="404">
        <v>3</v>
      </c>
      <c r="CK325" s="404">
        <v>3</v>
      </c>
      <c r="CL325" s="404">
        <v>3</v>
      </c>
      <c r="CM325" s="404">
        <v>3</v>
      </c>
      <c r="CN325" s="404">
        <v>3</v>
      </c>
      <c r="CO325" s="404">
        <v>3</v>
      </c>
      <c r="CP325" s="404">
        <v>3</v>
      </c>
      <c r="CQ325" s="404">
        <v>3</v>
      </c>
      <c r="CR325" s="404">
        <v>1</v>
      </c>
    </row>
    <row r="326" spans="1:96" s="404" customFormat="1" x14ac:dyDescent="0.3">
      <c r="A326" s="404">
        <v>965</v>
      </c>
      <c r="B326" s="404">
        <v>965</v>
      </c>
      <c r="C326" s="404" t="s">
        <v>1795</v>
      </c>
      <c r="D326" s="404" t="s">
        <v>910</v>
      </c>
      <c r="F326" s="404">
        <v>1</v>
      </c>
      <c r="G326" s="404">
        <v>1</v>
      </c>
      <c r="H326" s="404">
        <v>1</v>
      </c>
      <c r="I326" s="404">
        <v>1</v>
      </c>
      <c r="J326" s="404">
        <v>1</v>
      </c>
      <c r="K326" s="404">
        <v>1</v>
      </c>
      <c r="L326" s="404">
        <v>1</v>
      </c>
      <c r="M326" s="404">
        <v>1</v>
      </c>
      <c r="N326" s="404">
        <v>1</v>
      </c>
      <c r="O326" s="404">
        <v>1</v>
      </c>
      <c r="P326" s="404">
        <v>1</v>
      </c>
      <c r="Q326" s="404">
        <v>1</v>
      </c>
      <c r="R326" s="404">
        <v>1</v>
      </c>
      <c r="S326" s="404">
        <v>1</v>
      </c>
      <c r="T326" s="404">
        <v>1</v>
      </c>
      <c r="U326" s="404">
        <v>1</v>
      </c>
      <c r="V326" s="404">
        <v>1</v>
      </c>
      <c r="W326" s="404">
        <v>1</v>
      </c>
      <c r="X326" s="404">
        <v>1</v>
      </c>
      <c r="Y326" s="404">
        <v>1</v>
      </c>
      <c r="Z326" s="404">
        <v>1</v>
      </c>
      <c r="AA326" s="404">
        <v>1</v>
      </c>
      <c r="AB326" s="404">
        <v>1</v>
      </c>
      <c r="AC326" s="404">
        <v>1</v>
      </c>
      <c r="AD326" s="404">
        <v>1</v>
      </c>
      <c r="AE326" s="404">
        <v>1</v>
      </c>
      <c r="AF326" s="404">
        <v>1</v>
      </c>
      <c r="AG326" s="404">
        <v>1</v>
      </c>
      <c r="AH326" s="404">
        <v>1</v>
      </c>
      <c r="AI326" s="404">
        <v>1</v>
      </c>
      <c r="AJ326" s="404">
        <v>1</v>
      </c>
      <c r="AK326" s="404">
        <v>1</v>
      </c>
      <c r="AL326" s="404">
        <v>1</v>
      </c>
      <c r="AM326" s="404">
        <v>1</v>
      </c>
      <c r="AN326" s="404">
        <v>1</v>
      </c>
      <c r="AO326" s="404">
        <v>1</v>
      </c>
      <c r="AP326" s="404">
        <v>1</v>
      </c>
      <c r="AQ326" s="404">
        <v>1</v>
      </c>
      <c r="AR326" s="404">
        <v>0</v>
      </c>
      <c r="AS326" s="404">
        <v>1</v>
      </c>
      <c r="AT326" s="404">
        <v>1</v>
      </c>
      <c r="AU326" s="404">
        <v>1</v>
      </c>
      <c r="AV326" s="404">
        <v>1</v>
      </c>
      <c r="AW326" s="404">
        <v>1</v>
      </c>
      <c r="AX326" s="404">
        <v>1</v>
      </c>
      <c r="AY326" s="404">
        <v>1</v>
      </c>
      <c r="AZ326" s="404">
        <v>1</v>
      </c>
      <c r="BA326" s="404">
        <v>1</v>
      </c>
      <c r="BB326" s="404">
        <v>1</v>
      </c>
      <c r="BC326" s="404">
        <v>1</v>
      </c>
      <c r="BD326" s="404">
        <v>1</v>
      </c>
      <c r="BE326" s="404">
        <v>1</v>
      </c>
      <c r="BF326" s="404">
        <v>1</v>
      </c>
      <c r="BG326" s="404">
        <v>1</v>
      </c>
      <c r="BH326" s="404">
        <v>1</v>
      </c>
      <c r="BI326" s="404">
        <v>1</v>
      </c>
      <c r="BJ326" s="404">
        <v>1</v>
      </c>
      <c r="BK326" s="404">
        <v>1</v>
      </c>
      <c r="BL326" s="404">
        <v>1</v>
      </c>
      <c r="BM326" s="404">
        <v>1</v>
      </c>
      <c r="BN326" s="404">
        <v>1</v>
      </c>
      <c r="BO326" s="404">
        <v>1</v>
      </c>
      <c r="BP326" s="404">
        <v>1</v>
      </c>
      <c r="BQ326" s="404">
        <v>1</v>
      </c>
      <c r="BR326" s="404">
        <v>1</v>
      </c>
      <c r="BS326" s="404">
        <v>1</v>
      </c>
      <c r="BT326" s="404">
        <v>1</v>
      </c>
      <c r="BU326" s="404">
        <v>1</v>
      </c>
      <c r="BV326" s="404">
        <v>1</v>
      </c>
      <c r="BW326" s="404">
        <v>0</v>
      </c>
      <c r="BX326" s="404">
        <v>1</v>
      </c>
      <c r="BY326" s="404">
        <v>1</v>
      </c>
      <c r="BZ326" s="404">
        <v>1</v>
      </c>
      <c r="CA326" s="404">
        <v>0</v>
      </c>
      <c r="CB326" s="404">
        <v>1</v>
      </c>
      <c r="CC326" s="404">
        <v>0</v>
      </c>
      <c r="CD326" s="404">
        <v>1</v>
      </c>
      <c r="CE326" s="404">
        <v>1</v>
      </c>
      <c r="CF326" s="404">
        <v>1</v>
      </c>
      <c r="CG326" s="404">
        <v>1</v>
      </c>
      <c r="CH326" s="404">
        <v>1</v>
      </c>
      <c r="CI326" s="404">
        <v>1</v>
      </c>
      <c r="CJ326" s="404">
        <v>1</v>
      </c>
      <c r="CK326" s="404">
        <v>1</v>
      </c>
      <c r="CL326" s="404">
        <v>1</v>
      </c>
      <c r="CM326" s="404">
        <v>1</v>
      </c>
      <c r="CN326" s="404">
        <v>1</v>
      </c>
      <c r="CO326" s="404">
        <v>1</v>
      </c>
      <c r="CP326" s="404">
        <v>1</v>
      </c>
      <c r="CQ326" s="404">
        <v>1</v>
      </c>
      <c r="CR326" s="404">
        <v>1</v>
      </c>
    </row>
    <row r="327" spans="1:96" s="404" customFormat="1" x14ac:dyDescent="0.3">
      <c r="A327" s="404">
        <v>603</v>
      </c>
      <c r="B327" s="404">
        <v>603</v>
      </c>
      <c r="C327" s="404" t="s">
        <v>1796</v>
      </c>
      <c r="D327" s="404" t="s">
        <v>915</v>
      </c>
      <c r="F327" s="404">
        <v>0</v>
      </c>
      <c r="G327" s="404">
        <v>0</v>
      </c>
      <c r="H327" s="404">
        <v>0</v>
      </c>
      <c r="I327" s="404">
        <v>4</v>
      </c>
      <c r="J327" s="404">
        <v>0</v>
      </c>
      <c r="K327" s="404">
        <v>2</v>
      </c>
      <c r="L327" s="404">
        <v>0</v>
      </c>
      <c r="M327" s="404">
        <v>0</v>
      </c>
      <c r="N327" s="404">
        <v>0</v>
      </c>
      <c r="O327" s="404">
        <v>0</v>
      </c>
      <c r="P327" s="404">
        <v>0</v>
      </c>
      <c r="Q327" s="404">
        <v>4</v>
      </c>
      <c r="R327" s="404">
        <v>6</v>
      </c>
      <c r="S327" s="404">
        <v>2</v>
      </c>
      <c r="T327" s="404">
        <v>0</v>
      </c>
      <c r="U327" s="404">
        <v>0</v>
      </c>
      <c r="V327" s="404">
        <v>2</v>
      </c>
      <c r="W327" s="404">
        <v>0</v>
      </c>
      <c r="X327" s="404">
        <v>0</v>
      </c>
      <c r="Y327" s="404">
        <v>0</v>
      </c>
      <c r="Z327" s="404">
        <v>1</v>
      </c>
      <c r="AA327" s="404">
        <v>0</v>
      </c>
      <c r="AB327" s="404">
        <v>0</v>
      </c>
      <c r="AC327" s="404">
        <v>4</v>
      </c>
      <c r="AD327" s="404">
        <v>2</v>
      </c>
      <c r="AE327" s="404">
        <v>4</v>
      </c>
      <c r="AF327" s="404">
        <v>0</v>
      </c>
      <c r="AG327" s="404">
        <v>0</v>
      </c>
      <c r="AH327" s="404">
        <v>0</v>
      </c>
      <c r="AI327" s="404">
        <v>0</v>
      </c>
      <c r="AJ327" s="404">
        <v>2</v>
      </c>
      <c r="AK327" s="404">
        <v>1</v>
      </c>
      <c r="AL327" s="404">
        <v>0</v>
      </c>
      <c r="AM327" s="404">
        <v>2</v>
      </c>
      <c r="AN327" s="404">
        <v>5</v>
      </c>
      <c r="AO327" s="404">
        <v>0</v>
      </c>
      <c r="AP327" s="404">
        <v>0</v>
      </c>
      <c r="AQ327" s="404">
        <v>0</v>
      </c>
      <c r="AR327" s="404">
        <v>0</v>
      </c>
      <c r="AS327" s="404">
        <v>0</v>
      </c>
      <c r="AT327" s="404">
        <v>2</v>
      </c>
      <c r="AU327" s="404">
        <v>5</v>
      </c>
      <c r="AV327" s="404">
        <v>2</v>
      </c>
      <c r="AW327" s="404">
        <v>1</v>
      </c>
      <c r="AX327" s="404">
        <v>0</v>
      </c>
      <c r="AY327" s="404">
        <v>0</v>
      </c>
      <c r="AZ327" s="404">
        <v>0</v>
      </c>
      <c r="BA327" s="404">
        <v>0</v>
      </c>
      <c r="BB327" s="404">
        <v>0</v>
      </c>
      <c r="BC327" s="404">
        <v>0</v>
      </c>
      <c r="BD327" s="404">
        <v>4</v>
      </c>
      <c r="BE327" s="404">
        <v>4</v>
      </c>
      <c r="BF327" s="404">
        <v>0</v>
      </c>
      <c r="BG327" s="404">
        <v>1</v>
      </c>
      <c r="BH327" s="404">
        <v>1</v>
      </c>
      <c r="BI327" s="404">
        <v>4</v>
      </c>
      <c r="BJ327" s="404">
        <v>1</v>
      </c>
      <c r="BK327" s="404">
        <v>0</v>
      </c>
      <c r="BL327" s="404">
        <v>0</v>
      </c>
      <c r="BM327" s="404">
        <v>2</v>
      </c>
      <c r="BN327" s="404">
        <v>0</v>
      </c>
      <c r="BO327" s="404">
        <v>2</v>
      </c>
      <c r="BP327" s="404">
        <v>0</v>
      </c>
      <c r="BQ327" s="404">
        <v>0</v>
      </c>
      <c r="BR327" s="404">
        <v>0</v>
      </c>
      <c r="BS327" s="404">
        <v>0</v>
      </c>
      <c r="BT327" s="404">
        <v>0</v>
      </c>
      <c r="BU327" s="404">
        <v>0</v>
      </c>
      <c r="BV327" s="404">
        <v>0</v>
      </c>
      <c r="BW327" s="404">
        <v>0</v>
      </c>
      <c r="BX327" s="404">
        <v>2</v>
      </c>
      <c r="BY327" s="404">
        <v>2</v>
      </c>
      <c r="BZ327" s="404">
        <v>0</v>
      </c>
      <c r="CA327" s="404">
        <v>0</v>
      </c>
      <c r="CB327" s="404">
        <v>0</v>
      </c>
      <c r="CC327" s="404">
        <v>2</v>
      </c>
      <c r="CD327" s="404">
        <v>0</v>
      </c>
      <c r="CE327" s="404">
        <v>4</v>
      </c>
      <c r="CF327" s="404">
        <v>4</v>
      </c>
      <c r="CG327" s="404">
        <v>0</v>
      </c>
      <c r="CH327" s="404">
        <v>2</v>
      </c>
      <c r="CI327" s="404">
        <v>1</v>
      </c>
      <c r="CJ327" s="404">
        <v>1</v>
      </c>
      <c r="CK327" s="404">
        <v>2</v>
      </c>
      <c r="CL327" s="404">
        <v>6</v>
      </c>
      <c r="CM327" s="404">
        <v>0</v>
      </c>
      <c r="CN327" s="404">
        <v>2</v>
      </c>
      <c r="CO327" s="404">
        <v>0</v>
      </c>
      <c r="CP327" s="404">
        <v>2</v>
      </c>
      <c r="CQ327" s="404">
        <v>0</v>
      </c>
      <c r="CR327" s="404">
        <v>0</v>
      </c>
    </row>
    <row r="328" spans="1:96" s="404" customFormat="1" x14ac:dyDescent="0.3">
      <c r="A328" s="404">
        <v>929</v>
      </c>
      <c r="B328" s="404">
        <v>929</v>
      </c>
      <c r="C328" s="404" t="s">
        <v>1796</v>
      </c>
      <c r="D328" s="404" t="s">
        <v>911</v>
      </c>
      <c r="F328" s="404">
        <v>0</v>
      </c>
      <c r="G328" s="404">
        <v>0</v>
      </c>
      <c r="H328" s="404">
        <v>0</v>
      </c>
      <c r="I328" s="404">
        <v>1</v>
      </c>
      <c r="J328" s="404">
        <v>0</v>
      </c>
      <c r="K328" s="404">
        <v>1</v>
      </c>
      <c r="L328" s="404">
        <v>0</v>
      </c>
      <c r="M328" s="404">
        <v>0</v>
      </c>
      <c r="N328" s="404">
        <v>2</v>
      </c>
      <c r="O328" s="404">
        <v>0</v>
      </c>
      <c r="P328" s="404">
        <v>0</v>
      </c>
      <c r="Q328" s="404">
        <v>2</v>
      </c>
      <c r="R328" s="404">
        <v>1</v>
      </c>
      <c r="S328" s="404">
        <v>2</v>
      </c>
      <c r="T328" s="404">
        <v>0</v>
      </c>
      <c r="U328" s="404">
        <v>0</v>
      </c>
      <c r="V328" s="404">
        <v>2</v>
      </c>
      <c r="W328" s="404">
        <v>0</v>
      </c>
      <c r="X328" s="404">
        <v>0</v>
      </c>
      <c r="Y328" s="404">
        <v>0</v>
      </c>
      <c r="Z328" s="404">
        <v>2</v>
      </c>
      <c r="AA328" s="404">
        <v>0</v>
      </c>
      <c r="AB328" s="404">
        <v>0</v>
      </c>
      <c r="AC328" s="404">
        <v>1</v>
      </c>
      <c r="AD328" s="404">
        <v>2</v>
      </c>
      <c r="AE328" s="404">
        <v>1</v>
      </c>
      <c r="AF328" s="404">
        <v>0</v>
      </c>
      <c r="AG328" s="404">
        <v>0</v>
      </c>
      <c r="AH328" s="404">
        <v>0</v>
      </c>
      <c r="AI328" s="404">
        <v>0</v>
      </c>
      <c r="AJ328" s="404">
        <v>0</v>
      </c>
      <c r="AK328" s="404">
        <v>2</v>
      </c>
      <c r="AL328" s="404">
        <v>0</v>
      </c>
      <c r="AM328" s="404">
        <v>1</v>
      </c>
      <c r="AN328" s="404">
        <v>2</v>
      </c>
      <c r="AO328" s="404">
        <v>0</v>
      </c>
      <c r="AP328" s="404">
        <v>0</v>
      </c>
      <c r="AQ328" s="404">
        <v>0</v>
      </c>
      <c r="AR328" s="404">
        <v>0</v>
      </c>
      <c r="AS328" s="404">
        <v>0</v>
      </c>
      <c r="AT328" s="404">
        <v>1</v>
      </c>
      <c r="AU328" s="404">
        <v>2</v>
      </c>
      <c r="AV328" s="404">
        <v>1</v>
      </c>
      <c r="AW328" s="404">
        <v>1</v>
      </c>
      <c r="AX328" s="404">
        <v>0</v>
      </c>
      <c r="AY328" s="404">
        <v>0</v>
      </c>
      <c r="AZ328" s="404">
        <v>0</v>
      </c>
      <c r="BA328" s="404">
        <v>0</v>
      </c>
      <c r="BB328" s="404">
        <v>0</v>
      </c>
      <c r="BC328" s="404">
        <v>0</v>
      </c>
      <c r="BD328" s="404">
        <v>2</v>
      </c>
      <c r="BE328" s="404">
        <v>1</v>
      </c>
      <c r="BF328" s="404">
        <v>0</v>
      </c>
      <c r="BG328" s="404">
        <v>1</v>
      </c>
      <c r="BH328" s="404">
        <v>2</v>
      </c>
      <c r="BI328" s="404">
        <v>1</v>
      </c>
      <c r="BJ328" s="404">
        <v>2</v>
      </c>
      <c r="BK328" s="404">
        <v>0</v>
      </c>
      <c r="BL328" s="404">
        <v>0</v>
      </c>
      <c r="BM328" s="404">
        <v>2</v>
      </c>
      <c r="BN328" s="404">
        <v>0</v>
      </c>
      <c r="BO328" s="404">
        <v>2</v>
      </c>
      <c r="BP328" s="404">
        <v>0</v>
      </c>
      <c r="BQ328" s="404">
        <v>0</v>
      </c>
      <c r="BR328" s="404">
        <v>0</v>
      </c>
      <c r="BS328" s="404">
        <v>0</v>
      </c>
      <c r="BT328" s="404">
        <v>0</v>
      </c>
      <c r="BU328" s="404">
        <v>0</v>
      </c>
      <c r="BV328" s="404">
        <v>0</v>
      </c>
      <c r="BW328" s="404">
        <v>0</v>
      </c>
      <c r="BX328" s="404">
        <v>2</v>
      </c>
      <c r="BY328" s="404">
        <v>2</v>
      </c>
      <c r="BZ328" s="404">
        <v>0</v>
      </c>
      <c r="CA328" s="404">
        <v>0</v>
      </c>
      <c r="CB328" s="404">
        <v>0</v>
      </c>
      <c r="CC328" s="404">
        <v>2</v>
      </c>
      <c r="CD328" s="404">
        <v>0</v>
      </c>
      <c r="CE328" s="404">
        <v>1</v>
      </c>
      <c r="CF328" s="404">
        <v>1</v>
      </c>
      <c r="CG328" s="404">
        <v>0</v>
      </c>
      <c r="CH328" s="404">
        <v>2</v>
      </c>
      <c r="CI328" s="404">
        <v>2</v>
      </c>
      <c r="CJ328" s="404">
        <v>2</v>
      </c>
      <c r="CK328" s="404">
        <v>2</v>
      </c>
      <c r="CL328" s="404">
        <v>2</v>
      </c>
      <c r="CM328" s="404">
        <v>0</v>
      </c>
      <c r="CN328" s="404">
        <v>2</v>
      </c>
      <c r="CO328" s="404">
        <v>0</v>
      </c>
      <c r="CP328" s="404">
        <v>2</v>
      </c>
      <c r="CQ328" s="404">
        <v>0</v>
      </c>
      <c r="CR328" s="404">
        <v>0</v>
      </c>
    </row>
    <row r="329" spans="1:96" s="404" customFormat="1" x14ac:dyDescent="0.3">
      <c r="A329" s="404">
        <v>930</v>
      </c>
      <c r="B329" s="404">
        <v>930</v>
      </c>
      <c r="C329" s="404" t="s">
        <v>1796</v>
      </c>
      <c r="D329" s="404" t="s">
        <v>912</v>
      </c>
      <c r="F329" s="404">
        <v>0</v>
      </c>
      <c r="G329" s="404">
        <v>0</v>
      </c>
      <c r="H329" s="404">
        <v>0</v>
      </c>
      <c r="I329" s="404">
        <v>2</v>
      </c>
      <c r="J329" s="404">
        <v>0</v>
      </c>
      <c r="K329" s="404">
        <v>2</v>
      </c>
      <c r="L329" s="404">
        <v>0</v>
      </c>
      <c r="M329" s="404">
        <v>0</v>
      </c>
      <c r="N329" s="404">
        <v>2</v>
      </c>
      <c r="O329" s="404">
        <v>0</v>
      </c>
      <c r="P329" s="404">
        <v>0</v>
      </c>
      <c r="Q329" s="404">
        <v>1</v>
      </c>
      <c r="R329" s="404">
        <v>2</v>
      </c>
      <c r="S329" s="404">
        <v>2</v>
      </c>
      <c r="T329" s="404">
        <v>0</v>
      </c>
      <c r="U329" s="404">
        <v>0</v>
      </c>
      <c r="V329" s="404">
        <v>2</v>
      </c>
      <c r="W329" s="404">
        <v>0</v>
      </c>
      <c r="X329" s="404">
        <v>0</v>
      </c>
      <c r="Y329" s="404">
        <v>0</v>
      </c>
      <c r="Z329" s="404">
        <v>1</v>
      </c>
      <c r="AA329" s="404">
        <v>0</v>
      </c>
      <c r="AB329" s="404">
        <v>0</v>
      </c>
      <c r="AC329" s="404">
        <v>2</v>
      </c>
      <c r="AD329" s="404">
        <v>1</v>
      </c>
      <c r="AE329" s="404">
        <v>2</v>
      </c>
      <c r="AF329" s="404">
        <v>0</v>
      </c>
      <c r="AG329" s="404">
        <v>0</v>
      </c>
      <c r="AH329" s="404">
        <v>0</v>
      </c>
      <c r="AI329" s="404">
        <v>0</v>
      </c>
      <c r="AJ329" s="404">
        <v>2</v>
      </c>
      <c r="AK329" s="404">
        <v>2</v>
      </c>
      <c r="AL329" s="404">
        <v>0</v>
      </c>
      <c r="AM329" s="404">
        <v>2</v>
      </c>
      <c r="AN329" s="404">
        <v>1</v>
      </c>
      <c r="AO329" s="404">
        <v>0</v>
      </c>
      <c r="AP329" s="404">
        <v>0</v>
      </c>
      <c r="AQ329" s="404">
        <v>0</v>
      </c>
      <c r="AR329" s="404">
        <v>0</v>
      </c>
      <c r="AS329" s="404">
        <v>0</v>
      </c>
      <c r="AT329" s="404">
        <v>2</v>
      </c>
      <c r="AU329" s="404">
        <v>1</v>
      </c>
      <c r="AV329" s="404">
        <v>2</v>
      </c>
      <c r="AW329" s="404">
        <v>2</v>
      </c>
      <c r="AX329" s="404">
        <v>0</v>
      </c>
      <c r="AY329" s="404">
        <v>0</v>
      </c>
      <c r="AZ329" s="404">
        <v>0</v>
      </c>
      <c r="BA329" s="404">
        <v>0</v>
      </c>
      <c r="BB329" s="404">
        <v>0</v>
      </c>
      <c r="BC329" s="404">
        <v>0</v>
      </c>
      <c r="BD329" s="404">
        <v>1</v>
      </c>
      <c r="BE329" s="404">
        <v>2</v>
      </c>
      <c r="BF329" s="404">
        <v>0</v>
      </c>
      <c r="BG329" s="404">
        <v>2</v>
      </c>
      <c r="BH329" s="404">
        <v>2</v>
      </c>
      <c r="BI329" s="404">
        <v>2</v>
      </c>
      <c r="BJ329" s="404">
        <v>2</v>
      </c>
      <c r="BK329" s="404">
        <v>0</v>
      </c>
      <c r="BL329" s="404">
        <v>0</v>
      </c>
      <c r="BM329" s="404">
        <v>2</v>
      </c>
      <c r="BN329" s="404">
        <v>0</v>
      </c>
      <c r="BO329" s="404">
        <v>2</v>
      </c>
      <c r="BP329" s="404">
        <v>0</v>
      </c>
      <c r="BQ329" s="404">
        <v>0</v>
      </c>
      <c r="BR329" s="404">
        <v>0</v>
      </c>
      <c r="BS329" s="404">
        <v>0</v>
      </c>
      <c r="BT329" s="404">
        <v>0</v>
      </c>
      <c r="BU329" s="404">
        <v>0</v>
      </c>
      <c r="BV329" s="404">
        <v>0</v>
      </c>
      <c r="BW329" s="404">
        <v>0</v>
      </c>
      <c r="BX329" s="404">
        <v>2</v>
      </c>
      <c r="BY329" s="404">
        <v>2</v>
      </c>
      <c r="BZ329" s="404">
        <v>0</v>
      </c>
      <c r="CA329" s="404">
        <v>0</v>
      </c>
      <c r="CB329" s="404">
        <v>0</v>
      </c>
      <c r="CC329" s="404">
        <v>2</v>
      </c>
      <c r="CD329" s="404">
        <v>0</v>
      </c>
      <c r="CE329" s="404">
        <v>2</v>
      </c>
      <c r="CF329" s="404">
        <v>2</v>
      </c>
      <c r="CG329" s="404">
        <v>0</v>
      </c>
      <c r="CH329" s="404">
        <v>2</v>
      </c>
      <c r="CI329" s="404">
        <v>2</v>
      </c>
      <c r="CJ329" s="404">
        <v>2</v>
      </c>
      <c r="CK329" s="404">
        <v>1</v>
      </c>
      <c r="CL329" s="404">
        <v>2</v>
      </c>
      <c r="CM329" s="404">
        <v>0</v>
      </c>
      <c r="CN329" s="404">
        <v>2</v>
      </c>
      <c r="CO329" s="404">
        <v>0</v>
      </c>
      <c r="CP329" s="404">
        <v>2</v>
      </c>
      <c r="CQ329" s="404">
        <v>0</v>
      </c>
      <c r="CR329" s="404">
        <v>0</v>
      </c>
    </row>
    <row r="330" spans="1:96" s="404" customFormat="1" x14ac:dyDescent="0.3">
      <c r="A330" s="404">
        <v>931</v>
      </c>
      <c r="B330" s="404">
        <v>931</v>
      </c>
      <c r="C330" s="404" t="s">
        <v>1796</v>
      </c>
      <c r="D330" s="404" t="s">
        <v>913</v>
      </c>
      <c r="F330" s="404">
        <v>0</v>
      </c>
      <c r="G330" s="404">
        <v>0</v>
      </c>
      <c r="H330" s="404">
        <v>0</v>
      </c>
      <c r="I330" s="404">
        <v>2</v>
      </c>
      <c r="J330" s="404">
        <v>0</v>
      </c>
      <c r="K330" s="404">
        <v>2</v>
      </c>
      <c r="L330" s="404">
        <v>0</v>
      </c>
      <c r="M330" s="404">
        <v>0</v>
      </c>
      <c r="N330" s="404">
        <v>2</v>
      </c>
      <c r="O330" s="404">
        <v>0</v>
      </c>
      <c r="P330" s="404">
        <v>0</v>
      </c>
      <c r="Q330" s="404">
        <v>2</v>
      </c>
      <c r="R330" s="404">
        <v>2</v>
      </c>
      <c r="S330" s="404">
        <v>2</v>
      </c>
      <c r="T330" s="404">
        <v>0</v>
      </c>
      <c r="U330" s="404">
        <v>0</v>
      </c>
      <c r="V330" s="404">
        <v>2</v>
      </c>
      <c r="W330" s="404">
        <v>0</v>
      </c>
      <c r="X330" s="404">
        <v>0</v>
      </c>
      <c r="Y330" s="404">
        <v>0</v>
      </c>
      <c r="Z330" s="404">
        <v>2</v>
      </c>
      <c r="AA330" s="404">
        <v>0</v>
      </c>
      <c r="AB330" s="404">
        <v>0</v>
      </c>
      <c r="AC330" s="404">
        <v>2</v>
      </c>
      <c r="AD330" s="404">
        <v>2</v>
      </c>
      <c r="AE330" s="404">
        <v>2</v>
      </c>
      <c r="AF330" s="404">
        <v>0</v>
      </c>
      <c r="AG330" s="404">
        <v>0</v>
      </c>
      <c r="AH330" s="404">
        <v>0</v>
      </c>
      <c r="AI330" s="404">
        <v>0</v>
      </c>
      <c r="AJ330" s="404">
        <v>2</v>
      </c>
      <c r="AK330" s="404">
        <v>2</v>
      </c>
      <c r="AL330" s="404">
        <v>0</v>
      </c>
      <c r="AM330" s="404">
        <v>2</v>
      </c>
      <c r="AN330" s="404">
        <v>2</v>
      </c>
      <c r="AO330" s="404">
        <v>0</v>
      </c>
      <c r="AP330" s="404">
        <v>0</v>
      </c>
      <c r="AQ330" s="404">
        <v>0</v>
      </c>
      <c r="AR330" s="404">
        <v>0</v>
      </c>
      <c r="AS330" s="404">
        <v>0</v>
      </c>
      <c r="AT330" s="404">
        <v>2</v>
      </c>
      <c r="AU330" s="404">
        <v>2</v>
      </c>
      <c r="AV330" s="404">
        <v>2</v>
      </c>
      <c r="AW330" s="404">
        <v>2</v>
      </c>
      <c r="AX330" s="404">
        <v>0</v>
      </c>
      <c r="AY330" s="404">
        <v>0</v>
      </c>
      <c r="AZ330" s="404">
        <v>0</v>
      </c>
      <c r="BA330" s="404">
        <v>0</v>
      </c>
      <c r="BB330" s="404">
        <v>0</v>
      </c>
      <c r="BC330" s="404">
        <v>0</v>
      </c>
      <c r="BD330" s="404">
        <v>2</v>
      </c>
      <c r="BE330" s="404">
        <v>2</v>
      </c>
      <c r="BF330" s="404">
        <v>0</v>
      </c>
      <c r="BG330" s="404">
        <v>2</v>
      </c>
      <c r="BH330" s="404">
        <v>2</v>
      </c>
      <c r="BI330" s="404">
        <v>2</v>
      </c>
      <c r="BJ330" s="404">
        <v>2</v>
      </c>
      <c r="BK330" s="404">
        <v>0</v>
      </c>
      <c r="BL330" s="404">
        <v>0</v>
      </c>
      <c r="BM330" s="404">
        <v>2</v>
      </c>
      <c r="BN330" s="404">
        <v>0</v>
      </c>
      <c r="BO330" s="404">
        <v>2</v>
      </c>
      <c r="BP330" s="404">
        <v>0</v>
      </c>
      <c r="BQ330" s="404">
        <v>0</v>
      </c>
      <c r="BR330" s="404">
        <v>0</v>
      </c>
      <c r="BS330" s="404">
        <v>0</v>
      </c>
      <c r="BT330" s="404">
        <v>0</v>
      </c>
      <c r="BU330" s="404">
        <v>0</v>
      </c>
      <c r="BV330" s="404">
        <v>0</v>
      </c>
      <c r="BW330" s="404">
        <v>0</v>
      </c>
      <c r="BX330" s="404">
        <v>2</v>
      </c>
      <c r="BY330" s="404">
        <v>2</v>
      </c>
      <c r="BZ330" s="404">
        <v>0</v>
      </c>
      <c r="CA330" s="404">
        <v>0</v>
      </c>
      <c r="CB330" s="404">
        <v>0</v>
      </c>
      <c r="CC330" s="404">
        <v>2</v>
      </c>
      <c r="CD330" s="404">
        <v>0</v>
      </c>
      <c r="CE330" s="404">
        <v>2</v>
      </c>
      <c r="CF330" s="404">
        <v>2</v>
      </c>
      <c r="CG330" s="404">
        <v>0</v>
      </c>
      <c r="CH330" s="404">
        <v>2</v>
      </c>
      <c r="CI330" s="404">
        <v>2</v>
      </c>
      <c r="CJ330" s="404">
        <v>2</v>
      </c>
      <c r="CK330" s="404">
        <v>2</v>
      </c>
      <c r="CL330" s="404">
        <v>2</v>
      </c>
      <c r="CM330" s="404">
        <v>0</v>
      </c>
      <c r="CN330" s="404">
        <v>2</v>
      </c>
      <c r="CO330" s="404">
        <v>0</v>
      </c>
      <c r="CP330" s="404">
        <v>2</v>
      </c>
      <c r="CQ330" s="404">
        <v>0</v>
      </c>
      <c r="CR330" s="404">
        <v>0</v>
      </c>
    </row>
    <row r="331" spans="1:96" s="404" customFormat="1" x14ac:dyDescent="0.3">
      <c r="A331" s="404">
        <v>932</v>
      </c>
      <c r="B331" s="404">
        <v>932</v>
      </c>
      <c r="C331" s="404" t="s">
        <v>1796</v>
      </c>
      <c r="D331" s="404" t="s">
        <v>914</v>
      </c>
      <c r="F331" s="404">
        <v>0</v>
      </c>
      <c r="G331" s="404">
        <v>0</v>
      </c>
      <c r="H331" s="404">
        <v>0</v>
      </c>
      <c r="I331" s="404">
        <v>2</v>
      </c>
      <c r="J331" s="404">
        <v>0</v>
      </c>
      <c r="K331" s="404">
        <v>2</v>
      </c>
      <c r="L331" s="404">
        <v>0</v>
      </c>
      <c r="M331" s="404">
        <v>0</v>
      </c>
      <c r="N331" s="404">
        <v>2</v>
      </c>
      <c r="O331" s="404">
        <v>0</v>
      </c>
      <c r="P331" s="404">
        <v>0</v>
      </c>
      <c r="Q331" s="404">
        <v>2</v>
      </c>
      <c r="R331" s="404">
        <v>2</v>
      </c>
      <c r="S331" s="404">
        <v>2</v>
      </c>
      <c r="T331" s="404">
        <v>0</v>
      </c>
      <c r="U331" s="404">
        <v>0</v>
      </c>
      <c r="V331" s="404">
        <v>2</v>
      </c>
      <c r="W331" s="404">
        <v>0</v>
      </c>
      <c r="X331" s="404">
        <v>0</v>
      </c>
      <c r="Y331" s="404">
        <v>0</v>
      </c>
      <c r="Z331" s="404">
        <v>2</v>
      </c>
      <c r="AA331" s="404">
        <v>0</v>
      </c>
      <c r="AB331" s="404">
        <v>0</v>
      </c>
      <c r="AC331" s="404">
        <v>2</v>
      </c>
      <c r="AD331" s="404">
        <v>2</v>
      </c>
      <c r="AE331" s="404">
        <v>2</v>
      </c>
      <c r="AF331" s="404">
        <v>0</v>
      </c>
      <c r="AG331" s="404">
        <v>0</v>
      </c>
      <c r="AH331" s="404">
        <v>0</v>
      </c>
      <c r="AI331" s="404">
        <v>0</v>
      </c>
      <c r="AJ331" s="404">
        <v>2</v>
      </c>
      <c r="AK331" s="404">
        <v>2</v>
      </c>
      <c r="AL331" s="404">
        <v>0</v>
      </c>
      <c r="AM331" s="404">
        <v>2</v>
      </c>
      <c r="AN331" s="404">
        <v>2</v>
      </c>
      <c r="AO331" s="404">
        <v>0</v>
      </c>
      <c r="AP331" s="404">
        <v>0</v>
      </c>
      <c r="AQ331" s="404">
        <v>0</v>
      </c>
      <c r="AR331" s="404">
        <v>0</v>
      </c>
      <c r="AS331" s="404">
        <v>0</v>
      </c>
      <c r="AT331" s="404">
        <v>2</v>
      </c>
      <c r="AU331" s="404">
        <v>2</v>
      </c>
      <c r="AV331" s="404">
        <v>2</v>
      </c>
      <c r="AW331" s="404">
        <v>2</v>
      </c>
      <c r="AX331" s="404">
        <v>0</v>
      </c>
      <c r="AY331" s="404">
        <v>0</v>
      </c>
      <c r="AZ331" s="404">
        <v>0</v>
      </c>
      <c r="BA331" s="404">
        <v>0</v>
      </c>
      <c r="BB331" s="404">
        <v>0</v>
      </c>
      <c r="BC331" s="404">
        <v>0</v>
      </c>
      <c r="BD331" s="404">
        <v>2</v>
      </c>
      <c r="BE331" s="404">
        <v>2</v>
      </c>
      <c r="BF331" s="404">
        <v>0</v>
      </c>
      <c r="BG331" s="404">
        <v>2</v>
      </c>
      <c r="BH331" s="404">
        <v>2</v>
      </c>
      <c r="BI331" s="404">
        <v>2</v>
      </c>
      <c r="BJ331" s="404">
        <v>2</v>
      </c>
      <c r="BK331" s="404">
        <v>0</v>
      </c>
      <c r="BL331" s="404">
        <v>0</v>
      </c>
      <c r="BM331" s="404">
        <v>2</v>
      </c>
      <c r="BN331" s="404">
        <v>0</v>
      </c>
      <c r="BO331" s="404">
        <v>2</v>
      </c>
      <c r="BP331" s="404">
        <v>0</v>
      </c>
      <c r="BQ331" s="404">
        <v>0</v>
      </c>
      <c r="BR331" s="404">
        <v>0</v>
      </c>
      <c r="BS331" s="404">
        <v>0</v>
      </c>
      <c r="BT331" s="404">
        <v>0</v>
      </c>
      <c r="BU331" s="404">
        <v>0</v>
      </c>
      <c r="BV331" s="404">
        <v>0</v>
      </c>
      <c r="BW331" s="404">
        <v>0</v>
      </c>
      <c r="BX331" s="404">
        <v>2</v>
      </c>
      <c r="BY331" s="404">
        <v>2</v>
      </c>
      <c r="BZ331" s="404">
        <v>0</v>
      </c>
      <c r="CA331" s="404">
        <v>0</v>
      </c>
      <c r="CB331" s="404">
        <v>0</v>
      </c>
      <c r="CC331" s="404">
        <v>2</v>
      </c>
      <c r="CD331" s="404">
        <v>0</v>
      </c>
      <c r="CE331" s="404">
        <v>2</v>
      </c>
      <c r="CF331" s="404">
        <v>2</v>
      </c>
      <c r="CG331" s="404">
        <v>0</v>
      </c>
      <c r="CH331" s="404">
        <v>2</v>
      </c>
      <c r="CI331" s="404">
        <v>2</v>
      </c>
      <c r="CJ331" s="404">
        <v>2</v>
      </c>
      <c r="CK331" s="404">
        <v>1</v>
      </c>
      <c r="CL331" s="404">
        <v>2</v>
      </c>
      <c r="CM331" s="404">
        <v>0</v>
      </c>
      <c r="CN331" s="404">
        <v>2</v>
      </c>
      <c r="CO331" s="404">
        <v>0</v>
      </c>
      <c r="CP331" s="404">
        <v>2</v>
      </c>
      <c r="CQ331" s="404">
        <v>0</v>
      </c>
      <c r="CR331" s="404">
        <v>0</v>
      </c>
    </row>
    <row r="332" spans="1:96" s="404" customFormat="1" x14ac:dyDescent="0.3">
      <c r="A332" s="1106" t="s">
        <v>1687</v>
      </c>
      <c r="B332" s="1107"/>
      <c r="C332" s="1106"/>
      <c r="D332" s="1106"/>
      <c r="E332" s="1108"/>
      <c r="F332" s="1108"/>
      <c r="G332" s="1108"/>
      <c r="H332" s="1108"/>
      <c r="I332" s="1108"/>
      <c r="J332" s="1108"/>
      <c r="K332" s="1108"/>
      <c r="L332" s="1108"/>
      <c r="M332" s="1108"/>
      <c r="N332" s="1108"/>
      <c r="O332" s="1108"/>
      <c r="P332" s="1108"/>
      <c r="Q332" s="1108"/>
      <c r="R332" s="1108"/>
      <c r="S332" s="1108"/>
      <c r="T332" s="1108"/>
      <c r="U332" s="1108"/>
      <c r="V332" s="1108"/>
      <c r="W332" s="1108"/>
      <c r="X332" s="1108"/>
      <c r="Y332" s="1108"/>
      <c r="Z332" s="1108"/>
      <c r="AA332" s="1108"/>
      <c r="AB332" s="1108"/>
      <c r="AC332" s="1108"/>
      <c r="AD332" s="1108"/>
      <c r="AE332" s="1108"/>
      <c r="AF332" s="1108"/>
      <c r="AG332" s="1108"/>
      <c r="AH332" s="1108"/>
      <c r="AI332" s="1108"/>
      <c r="AJ332" s="1108"/>
      <c r="AK332" s="1108"/>
      <c r="AL332" s="1108"/>
      <c r="AM332" s="1108"/>
      <c r="AN332" s="1108"/>
      <c r="AO332" s="1108"/>
      <c r="AP332" s="1108"/>
      <c r="AQ332" s="1108"/>
      <c r="AR332" s="1108"/>
      <c r="AS332" s="1108"/>
      <c r="AT332" s="1108"/>
      <c r="AU332" s="1108"/>
      <c r="AV332" s="1108"/>
      <c r="AW332" s="1108"/>
      <c r="AX332" s="1108"/>
      <c r="AY332" s="1108"/>
      <c r="AZ332" s="1108"/>
      <c r="BA332" s="1108"/>
      <c r="BB332" s="1108"/>
      <c r="BC332" s="1108"/>
      <c r="BD332" s="1108"/>
      <c r="BE332" s="1108"/>
      <c r="BF332" s="1108"/>
      <c r="BG332" s="1108"/>
      <c r="BH332" s="1108"/>
      <c r="BI332" s="1108"/>
      <c r="BJ332" s="1108"/>
      <c r="BK332" s="1108"/>
      <c r="BL332" s="1108"/>
      <c r="BM332" s="1108"/>
      <c r="BN332" s="1108"/>
      <c r="BO332" s="1108"/>
      <c r="BP332" s="1108"/>
      <c r="BQ332" s="1108"/>
      <c r="BR332" s="1108"/>
      <c r="BS332" s="1108"/>
      <c r="BT332" s="1108"/>
    </row>
    <row r="333" spans="1:96" s="1106" customFormat="1" x14ac:dyDescent="0.3">
      <c r="A333" s="1106" t="s">
        <v>1687</v>
      </c>
      <c r="B333" s="1107"/>
    </row>
    <row r="334" spans="1:96" s="404" customFormat="1" x14ac:dyDescent="0.3">
      <c r="A334" s="410" t="s">
        <v>1688</v>
      </c>
      <c r="B334" s="411"/>
      <c r="C334" s="412"/>
      <c r="D334" s="404" t="s">
        <v>1085</v>
      </c>
      <c r="F334" s="404">
        <v>246283</v>
      </c>
      <c r="G334" s="404">
        <v>8825103</v>
      </c>
      <c r="H334" s="404">
        <v>1070255</v>
      </c>
      <c r="I334" s="404">
        <v>2873629</v>
      </c>
      <c r="J334" s="404">
        <v>763624</v>
      </c>
      <c r="K334" s="404">
        <v>645791</v>
      </c>
      <c r="L334" s="404">
        <v>33398870</v>
      </c>
      <c r="M334" s="404">
        <v>876837</v>
      </c>
      <c r="N334" s="404">
        <v>731298</v>
      </c>
      <c r="O334" s="404">
        <v>506147</v>
      </c>
      <c r="P334" s="404">
        <v>1415852</v>
      </c>
      <c r="Q334" s="404">
        <v>46901</v>
      </c>
      <c r="R334" s="404">
        <v>254171</v>
      </c>
      <c r="S334" s="404">
        <v>1688071</v>
      </c>
      <c r="T334" s="404">
        <v>1378479</v>
      </c>
      <c r="U334" s="404">
        <v>6890703</v>
      </c>
      <c r="V334" s="404">
        <v>12160905</v>
      </c>
      <c r="W334" s="404">
        <v>4041893</v>
      </c>
      <c r="X334" s="404">
        <v>339304</v>
      </c>
      <c r="Y334" s="404">
        <v>3289354</v>
      </c>
      <c r="Z334" s="404">
        <v>2654283</v>
      </c>
      <c r="AA334" s="404">
        <v>76400</v>
      </c>
      <c r="AB334" s="404">
        <v>10653151</v>
      </c>
      <c r="AC334" s="404">
        <v>2002112</v>
      </c>
      <c r="AD334" s="404">
        <v>809825</v>
      </c>
      <c r="AE334" s="404">
        <v>276030</v>
      </c>
      <c r="AF334" s="404">
        <v>24001609</v>
      </c>
      <c r="AG334" s="404">
        <v>773926</v>
      </c>
      <c r="AH334" s="404">
        <v>3219406</v>
      </c>
      <c r="AI334" s="404">
        <v>2508650</v>
      </c>
      <c r="AJ334" s="404">
        <v>338455</v>
      </c>
      <c r="AK334" s="404">
        <v>2705859</v>
      </c>
      <c r="AL334" s="404">
        <v>3666987</v>
      </c>
      <c r="AM334" s="404">
        <v>2970718</v>
      </c>
      <c r="AN334" s="404">
        <v>1720102</v>
      </c>
      <c r="AO334" s="404">
        <v>237611</v>
      </c>
      <c r="AP334" s="404">
        <v>315224</v>
      </c>
      <c r="AQ334" s="404">
        <v>4806165</v>
      </c>
      <c r="AR334" s="404">
        <v>0</v>
      </c>
      <c r="AS334" s="404">
        <v>144744</v>
      </c>
      <c r="AT334" s="404">
        <v>351006</v>
      </c>
      <c r="AU334" s="404">
        <v>854950</v>
      </c>
      <c r="AV334" s="404">
        <v>102103</v>
      </c>
      <c r="AW334" s="404">
        <v>329306</v>
      </c>
      <c r="AX334" s="404">
        <v>4902413</v>
      </c>
      <c r="AY334" s="404">
        <v>314019</v>
      </c>
      <c r="AZ334" s="404">
        <v>48826459</v>
      </c>
      <c r="BA334" s="404">
        <v>1811590</v>
      </c>
      <c r="BB334" s="404">
        <v>4646401</v>
      </c>
      <c r="BC334" s="404">
        <v>1148842</v>
      </c>
      <c r="BD334" s="404">
        <v>860169</v>
      </c>
      <c r="BE334" s="404">
        <v>1208349</v>
      </c>
      <c r="BF334" s="404">
        <v>233206</v>
      </c>
      <c r="BG334" s="404">
        <v>1074003</v>
      </c>
      <c r="BH334" s="404">
        <v>2971631</v>
      </c>
      <c r="BI334" s="404">
        <v>17663593</v>
      </c>
      <c r="BJ334" s="404">
        <v>394356</v>
      </c>
      <c r="BK334" s="404">
        <v>99720</v>
      </c>
      <c r="BL334" s="404">
        <v>11632280</v>
      </c>
      <c r="BM334" s="404">
        <v>12322105</v>
      </c>
      <c r="BN334" s="404">
        <v>7896743</v>
      </c>
      <c r="BO334" s="404">
        <v>96148</v>
      </c>
      <c r="BP334" s="404">
        <v>2038422</v>
      </c>
      <c r="BQ334" s="404">
        <v>1649788</v>
      </c>
      <c r="BR334" s="404">
        <v>7396336</v>
      </c>
      <c r="BS334" s="404">
        <v>1041683</v>
      </c>
      <c r="BT334" s="404">
        <v>623855</v>
      </c>
      <c r="BU334" s="404">
        <v>2388360</v>
      </c>
      <c r="BV334" s="404">
        <v>3748478</v>
      </c>
      <c r="BW334" s="404">
        <v>0</v>
      </c>
      <c r="BX334" s="404">
        <v>1637324</v>
      </c>
      <c r="BY334" s="404">
        <v>5449895</v>
      </c>
      <c r="BZ334" s="404">
        <v>187378</v>
      </c>
      <c r="CA334" s="404">
        <v>0</v>
      </c>
      <c r="CB334" s="404">
        <v>5999267</v>
      </c>
      <c r="CC334" s="404">
        <v>106173885</v>
      </c>
      <c r="CD334" s="404">
        <v>56666238</v>
      </c>
      <c r="CE334" s="404">
        <v>1229842</v>
      </c>
      <c r="CF334" s="404">
        <v>2832773</v>
      </c>
      <c r="CG334" s="404">
        <v>639219</v>
      </c>
      <c r="CH334" s="404">
        <v>1324201</v>
      </c>
      <c r="CI334" s="404">
        <v>209871098</v>
      </c>
      <c r="CJ334" s="404">
        <v>10499625</v>
      </c>
      <c r="CK334" s="404">
        <v>358603</v>
      </c>
      <c r="CL334" s="404">
        <v>4625086</v>
      </c>
      <c r="CM334" s="404">
        <v>339909</v>
      </c>
      <c r="CN334" s="404">
        <v>12761049</v>
      </c>
      <c r="CO334" s="404">
        <v>2580123</v>
      </c>
      <c r="CP334" s="404">
        <v>919268</v>
      </c>
      <c r="CQ334" s="404">
        <v>2371371</v>
      </c>
      <c r="CR334" s="404">
        <v>10186882</v>
      </c>
    </row>
    <row r="335" spans="1:96" s="404" customFormat="1" x14ac:dyDescent="0.3">
      <c r="B335" s="405"/>
      <c r="F335" s="404" t="s">
        <v>1259</v>
      </c>
      <c r="G335" s="404" t="s">
        <v>1257</v>
      </c>
      <c r="H335" s="404" t="s">
        <v>1257</v>
      </c>
      <c r="I335" s="404" t="s">
        <v>1257</v>
      </c>
      <c r="J335" s="404" t="s">
        <v>1259</v>
      </c>
      <c r="K335" s="404" t="s">
        <v>1259</v>
      </c>
      <c r="L335" s="404" t="s">
        <v>1258</v>
      </c>
      <c r="M335" s="404" t="s">
        <v>1259</v>
      </c>
      <c r="N335" s="404" t="s">
        <v>1259</v>
      </c>
      <c r="O335" s="404" t="s">
        <v>1259</v>
      </c>
      <c r="P335" s="404" t="s">
        <v>1257</v>
      </c>
      <c r="Q335" s="404" t="s">
        <v>1260</v>
      </c>
      <c r="R335" s="404" t="s">
        <v>1259</v>
      </c>
      <c r="S335" s="404" t="s">
        <v>1257</v>
      </c>
      <c r="T335" s="404" t="s">
        <v>1257</v>
      </c>
      <c r="U335" s="404" t="s">
        <v>1257</v>
      </c>
      <c r="V335" s="404" t="s">
        <v>1258</v>
      </c>
      <c r="W335" s="404" t="s">
        <v>1257</v>
      </c>
      <c r="X335" s="404" t="s">
        <v>1259</v>
      </c>
      <c r="Y335" s="404" t="s">
        <v>1257</v>
      </c>
      <c r="Z335" s="404" t="s">
        <v>1257</v>
      </c>
      <c r="AA335" s="404" t="s">
        <v>1260</v>
      </c>
      <c r="AB335" s="404" t="s">
        <v>1258</v>
      </c>
      <c r="AC335" s="404" t="s">
        <v>1257</v>
      </c>
      <c r="AD335" s="404" t="s">
        <v>1259</v>
      </c>
      <c r="AE335" s="404" t="s">
        <v>1259</v>
      </c>
      <c r="AF335" s="404" t="s">
        <v>1258</v>
      </c>
      <c r="AG335" s="404" t="s">
        <v>1259</v>
      </c>
      <c r="AH335" s="404" t="s">
        <v>1257</v>
      </c>
      <c r="AI335" s="404" t="s">
        <v>1257</v>
      </c>
      <c r="AJ335" s="404" t="s">
        <v>1259</v>
      </c>
      <c r="AK335" s="404" t="s">
        <v>1257</v>
      </c>
      <c r="AL335" s="404" t="s">
        <v>1257</v>
      </c>
      <c r="AM335" s="404" t="s">
        <v>1257</v>
      </c>
      <c r="AN335" s="404" t="s">
        <v>1257</v>
      </c>
      <c r="AO335" s="404" t="s">
        <v>1259</v>
      </c>
      <c r="AP335" s="404" t="s">
        <v>1259</v>
      </c>
      <c r="AQ335" s="404" t="s">
        <v>1257</v>
      </c>
      <c r="AR335" s="404" t="b">
        <v>0</v>
      </c>
      <c r="AS335" s="404" t="s">
        <v>1259</v>
      </c>
      <c r="AT335" s="404" t="s">
        <v>1259</v>
      </c>
      <c r="AU335" s="404" t="s">
        <v>1259</v>
      </c>
      <c r="AV335" s="404" t="s">
        <v>1259</v>
      </c>
      <c r="AW335" s="404" t="s">
        <v>1259</v>
      </c>
      <c r="AX335" s="404" t="s">
        <v>1257</v>
      </c>
      <c r="AY335" s="404" t="s">
        <v>1259</v>
      </c>
      <c r="AZ335" s="404" t="s">
        <v>1258</v>
      </c>
      <c r="BA335" s="404" t="s">
        <v>1257</v>
      </c>
      <c r="BB335" s="404" t="s">
        <v>1257</v>
      </c>
      <c r="BC335" s="404" t="s">
        <v>1257</v>
      </c>
      <c r="BD335" s="404" t="s">
        <v>1259</v>
      </c>
      <c r="BE335" s="404" t="s">
        <v>1257</v>
      </c>
      <c r="BF335" s="404" t="s">
        <v>1259</v>
      </c>
      <c r="BG335" s="404" t="s">
        <v>1257</v>
      </c>
      <c r="BH335" s="404" t="s">
        <v>1257</v>
      </c>
      <c r="BI335" s="404" t="s">
        <v>1258</v>
      </c>
      <c r="BJ335" s="404" t="s">
        <v>1259</v>
      </c>
      <c r="BK335" s="404" t="s">
        <v>1260</v>
      </c>
      <c r="BL335" s="404" t="s">
        <v>1258</v>
      </c>
      <c r="BM335" s="404" t="s">
        <v>1258</v>
      </c>
      <c r="BN335" s="404" t="s">
        <v>1257</v>
      </c>
      <c r="BO335" s="404" t="s">
        <v>1260</v>
      </c>
      <c r="BP335" s="404" t="s">
        <v>1257</v>
      </c>
      <c r="BQ335" s="404" t="s">
        <v>1257</v>
      </c>
      <c r="BR335" s="404" t="s">
        <v>1257</v>
      </c>
      <c r="BS335" s="404" t="s">
        <v>1257</v>
      </c>
      <c r="BT335" s="404" t="s">
        <v>1259</v>
      </c>
      <c r="BU335" s="404" t="s">
        <v>1257</v>
      </c>
      <c r="BV335" s="404" t="s">
        <v>1257</v>
      </c>
      <c r="BW335" s="404" t="b">
        <v>0</v>
      </c>
      <c r="BX335" s="404" t="s">
        <v>1257</v>
      </c>
      <c r="BY335" s="404" t="s">
        <v>1257</v>
      </c>
      <c r="BZ335" s="404" t="s">
        <v>1259</v>
      </c>
      <c r="CA335" s="404" t="b">
        <v>0</v>
      </c>
      <c r="CB335" s="404" t="s">
        <v>1257</v>
      </c>
      <c r="CC335" s="404" t="s">
        <v>1258</v>
      </c>
      <c r="CD335" s="404" t="s">
        <v>1258</v>
      </c>
      <c r="CE335" s="404" t="s">
        <v>1257</v>
      </c>
      <c r="CF335" s="404" t="s">
        <v>1257</v>
      </c>
      <c r="CG335" s="404" t="s">
        <v>1259</v>
      </c>
      <c r="CH335" s="404" t="s">
        <v>1257</v>
      </c>
      <c r="CI335" s="404" t="s">
        <v>1258</v>
      </c>
      <c r="CJ335" s="404" t="s">
        <v>1258</v>
      </c>
      <c r="CK335" s="404" t="s">
        <v>1259</v>
      </c>
      <c r="CL335" s="404" t="s">
        <v>1257</v>
      </c>
      <c r="CM335" s="404" t="s">
        <v>1259</v>
      </c>
      <c r="CN335" s="404" t="s">
        <v>1258</v>
      </c>
      <c r="CO335" s="404" t="s">
        <v>1257</v>
      </c>
      <c r="CP335" s="404" t="s">
        <v>1259</v>
      </c>
      <c r="CQ335" s="404" t="s">
        <v>1257</v>
      </c>
      <c r="CR335" s="404" t="s">
        <v>1258</v>
      </c>
    </row>
    <row r="336" spans="1:96" s="408" customFormat="1" x14ac:dyDescent="0.3">
      <c r="B336" s="409"/>
      <c r="F336" s="1127">
        <v>0.71</v>
      </c>
      <c r="G336" s="1127">
        <v>0.34</v>
      </c>
      <c r="H336" s="1127">
        <v>0.34</v>
      </c>
      <c r="I336" s="1127">
        <v>0.34</v>
      </c>
      <c r="J336" s="1127">
        <v>0.71</v>
      </c>
      <c r="K336" s="1127">
        <v>0.71</v>
      </c>
      <c r="L336" s="1127">
        <v>0.25</v>
      </c>
      <c r="M336" s="1127">
        <v>0.71</v>
      </c>
      <c r="N336" s="1127">
        <v>0.71</v>
      </c>
      <c r="O336" s="1127">
        <v>0.71</v>
      </c>
      <c r="P336" s="1127">
        <v>0.34</v>
      </c>
      <c r="Q336" s="1127">
        <v>100</v>
      </c>
      <c r="R336" s="1127">
        <v>0.71</v>
      </c>
      <c r="S336" s="1127">
        <v>0.34</v>
      </c>
      <c r="T336" s="1127">
        <v>0.34</v>
      </c>
      <c r="U336" s="1127">
        <v>0.34</v>
      </c>
      <c r="V336" s="1127">
        <v>0.25</v>
      </c>
      <c r="W336" s="1127">
        <v>0.34</v>
      </c>
      <c r="X336" s="1127">
        <v>0.71</v>
      </c>
      <c r="Y336" s="1127">
        <v>0.34</v>
      </c>
      <c r="Z336" s="1127">
        <v>0.34</v>
      </c>
      <c r="AA336" s="408">
        <v>100</v>
      </c>
      <c r="AB336" s="1127">
        <v>0.25</v>
      </c>
      <c r="AC336" s="1127">
        <v>0.34</v>
      </c>
      <c r="AD336" s="1127">
        <v>0.71</v>
      </c>
      <c r="AE336" s="1127">
        <v>0.71</v>
      </c>
      <c r="AF336" s="1127">
        <v>0.25</v>
      </c>
      <c r="AG336" s="1127">
        <v>0.71</v>
      </c>
      <c r="AH336" s="1127">
        <v>0.34</v>
      </c>
      <c r="AI336" s="1127">
        <v>0.34</v>
      </c>
      <c r="AJ336" s="1127">
        <v>0.71</v>
      </c>
      <c r="AK336" s="1127">
        <v>0.34</v>
      </c>
      <c r="AL336" s="1127">
        <v>0.34</v>
      </c>
      <c r="AM336" s="1127">
        <v>0.34</v>
      </c>
      <c r="AN336" s="1127">
        <v>0.34</v>
      </c>
      <c r="AO336" s="1127">
        <v>0.71</v>
      </c>
      <c r="AP336" s="1127">
        <v>0.71</v>
      </c>
      <c r="AQ336" s="1127">
        <v>0.34</v>
      </c>
      <c r="AR336" s="1127" t="b">
        <v>0</v>
      </c>
      <c r="AS336" s="1127">
        <v>0.71</v>
      </c>
      <c r="AT336" s="1127">
        <v>0.71</v>
      </c>
      <c r="AU336" s="1127">
        <v>0.71</v>
      </c>
      <c r="AV336" s="1127">
        <v>0.71</v>
      </c>
      <c r="AW336" s="1127">
        <v>0.71</v>
      </c>
      <c r="AX336" s="1127">
        <v>0.34</v>
      </c>
      <c r="AY336" s="1127">
        <v>0.71</v>
      </c>
      <c r="AZ336" s="1127">
        <v>0.25</v>
      </c>
      <c r="BA336" s="1127">
        <v>0.34</v>
      </c>
      <c r="BB336" s="1127">
        <v>0.34</v>
      </c>
      <c r="BC336" s="1127">
        <v>0.34</v>
      </c>
      <c r="BD336" s="1127">
        <v>0.71</v>
      </c>
      <c r="BE336" s="1127">
        <v>0.34</v>
      </c>
      <c r="BF336" s="1127">
        <v>0.71</v>
      </c>
      <c r="BG336" s="1127">
        <v>0.34</v>
      </c>
      <c r="BH336" s="1127">
        <v>0.34</v>
      </c>
      <c r="BI336" s="1127">
        <v>0.25</v>
      </c>
      <c r="BJ336" s="1127">
        <v>0.71</v>
      </c>
      <c r="BK336" s="1127">
        <v>100</v>
      </c>
      <c r="BL336" s="1127">
        <v>0.25</v>
      </c>
      <c r="BM336" s="1127">
        <v>0.25</v>
      </c>
      <c r="BN336" s="1127">
        <v>0.34</v>
      </c>
      <c r="BO336" s="1127">
        <v>100</v>
      </c>
      <c r="BP336" s="1127">
        <v>0.34</v>
      </c>
      <c r="BQ336" s="1127">
        <v>0.34</v>
      </c>
      <c r="BR336" s="1127">
        <v>0.34</v>
      </c>
      <c r="BS336" s="1127">
        <v>0.34</v>
      </c>
      <c r="BT336" s="1127">
        <v>0.71</v>
      </c>
      <c r="BU336" s="1127">
        <v>0.34</v>
      </c>
      <c r="BV336" s="1127">
        <v>0.34</v>
      </c>
      <c r="BW336" s="408" t="b">
        <v>0</v>
      </c>
      <c r="BX336" s="1127">
        <v>0.34</v>
      </c>
      <c r="BY336" s="1127">
        <v>0.34</v>
      </c>
      <c r="BZ336" s="1127">
        <v>0.71</v>
      </c>
      <c r="CA336" s="408" t="b">
        <v>0</v>
      </c>
      <c r="CB336" s="1127">
        <v>0.34</v>
      </c>
      <c r="CC336" s="1127">
        <v>0.25</v>
      </c>
      <c r="CD336" s="1127">
        <v>0.25</v>
      </c>
      <c r="CE336" s="1127">
        <v>0.34</v>
      </c>
      <c r="CF336" s="1127">
        <v>0.34</v>
      </c>
      <c r="CG336" s="1127">
        <v>0.71</v>
      </c>
      <c r="CH336" s="1127">
        <v>0.34</v>
      </c>
      <c r="CI336" s="1127">
        <v>0.25</v>
      </c>
      <c r="CJ336" s="1127">
        <v>0.25</v>
      </c>
      <c r="CK336" s="1127">
        <v>0.71</v>
      </c>
      <c r="CL336" s="1127">
        <v>0.34</v>
      </c>
      <c r="CM336" s="1127">
        <v>0.71</v>
      </c>
      <c r="CN336" s="1127">
        <v>0.25</v>
      </c>
      <c r="CO336" s="1127">
        <v>0.34</v>
      </c>
      <c r="CP336" s="1127">
        <v>0.71</v>
      </c>
      <c r="CQ336" s="1127">
        <v>0.34</v>
      </c>
      <c r="CR336" s="1127">
        <v>0.25</v>
      </c>
    </row>
    <row r="337" spans="1:96" s="404" customFormat="1" x14ac:dyDescent="0.3">
      <c r="A337" s="404" t="s">
        <v>1086</v>
      </c>
      <c r="B337" s="405"/>
      <c r="D337" s="404" t="s">
        <v>868</v>
      </c>
      <c r="F337" s="404">
        <v>615242</v>
      </c>
      <c r="G337" s="404">
        <v>8847015</v>
      </c>
      <c r="H337" s="404">
        <v>918754</v>
      </c>
      <c r="I337" s="404">
        <v>1145072</v>
      </c>
      <c r="J337" s="404">
        <v>424083</v>
      </c>
      <c r="K337" s="404">
        <v>746882</v>
      </c>
      <c r="L337" s="404">
        <v>19107207</v>
      </c>
      <c r="M337" s="404">
        <v>449946</v>
      </c>
      <c r="N337" s="404">
        <v>246971</v>
      </c>
      <c r="O337" s="404">
        <v>2914802</v>
      </c>
      <c r="P337" s="404">
        <v>701737</v>
      </c>
      <c r="Q337" s="404">
        <v>257020</v>
      </c>
      <c r="R337" s="404">
        <v>281293</v>
      </c>
      <c r="S337" s="404">
        <v>1147370</v>
      </c>
      <c r="T337" s="404">
        <v>6869005</v>
      </c>
      <c r="U337" s="404">
        <v>8633029</v>
      </c>
      <c r="V337" s="404">
        <v>5532838</v>
      </c>
      <c r="W337" s="404">
        <v>2607895</v>
      </c>
      <c r="X337" s="404">
        <v>3784690</v>
      </c>
      <c r="Y337" s="404">
        <v>5576443</v>
      </c>
      <c r="Z337" s="404">
        <v>1858757</v>
      </c>
      <c r="AA337" s="404">
        <v>58723</v>
      </c>
      <c r="AB337" s="404">
        <v>2342114</v>
      </c>
      <c r="AC337" s="404">
        <v>847476</v>
      </c>
      <c r="AD337" s="404">
        <v>510220</v>
      </c>
      <c r="AE337" s="404">
        <v>576976</v>
      </c>
      <c r="AF337" s="404">
        <v>9416928</v>
      </c>
      <c r="AG337" s="404">
        <v>1499123</v>
      </c>
      <c r="AH337" s="404">
        <v>2745885</v>
      </c>
      <c r="AI337" s="404">
        <v>1892810</v>
      </c>
      <c r="AJ337" s="404">
        <v>655475</v>
      </c>
      <c r="AK337" s="404">
        <v>6409043</v>
      </c>
      <c r="AL337" s="404">
        <v>2645641</v>
      </c>
      <c r="AM337" s="404">
        <v>1084723</v>
      </c>
      <c r="AN337" s="404">
        <v>1279507</v>
      </c>
      <c r="AO337" s="404">
        <v>94026</v>
      </c>
      <c r="AP337" s="404">
        <v>3062419</v>
      </c>
      <c r="AQ337" s="404">
        <v>3660742</v>
      </c>
      <c r="AR337" s="404">
        <v>0</v>
      </c>
      <c r="AS337" s="404">
        <v>372858</v>
      </c>
      <c r="AT337" s="404">
        <v>1583453</v>
      </c>
      <c r="AU337" s="404">
        <v>428285</v>
      </c>
      <c r="AV337" s="404">
        <v>61561</v>
      </c>
      <c r="AW337" s="404">
        <v>115201</v>
      </c>
      <c r="AX337" s="404">
        <v>2847963</v>
      </c>
      <c r="AY337" s="404">
        <v>959871</v>
      </c>
      <c r="AZ337" s="404">
        <v>11819146</v>
      </c>
      <c r="BA337" s="404">
        <v>4279900</v>
      </c>
      <c r="BB337" s="404">
        <v>2230204</v>
      </c>
      <c r="BC337" s="404">
        <v>2860750</v>
      </c>
      <c r="BD337" s="404">
        <v>1238135</v>
      </c>
      <c r="BE337" s="404">
        <v>1333988</v>
      </c>
      <c r="BF337" s="404">
        <v>223311</v>
      </c>
      <c r="BG337" s="404">
        <v>850481</v>
      </c>
      <c r="BH337" s="404">
        <v>2162160</v>
      </c>
      <c r="BI337" s="404">
        <v>2944511</v>
      </c>
      <c r="BJ337" s="404">
        <v>353208</v>
      </c>
      <c r="BK337" s="404">
        <v>240067</v>
      </c>
      <c r="BL337" s="404">
        <v>6744901</v>
      </c>
      <c r="BM337" s="404">
        <v>8456521</v>
      </c>
      <c r="BN337" s="404">
        <v>6623450</v>
      </c>
      <c r="BO337" s="404">
        <v>125567</v>
      </c>
      <c r="BP337" s="404">
        <v>3271813</v>
      </c>
      <c r="BQ337" s="404">
        <v>1549986</v>
      </c>
      <c r="BR337" s="404">
        <v>7274754</v>
      </c>
      <c r="BS337" s="404">
        <v>1490423</v>
      </c>
      <c r="BT337" s="404">
        <v>1587408</v>
      </c>
      <c r="BU337" s="404">
        <v>2182295</v>
      </c>
      <c r="BV337" s="404">
        <v>1351574</v>
      </c>
      <c r="BW337" s="404">
        <v>0</v>
      </c>
      <c r="BX337" s="404">
        <v>849330</v>
      </c>
      <c r="BY337" s="404">
        <v>2562933</v>
      </c>
      <c r="BZ337" s="404">
        <v>597696</v>
      </c>
      <c r="CA337" s="404">
        <v>0</v>
      </c>
      <c r="CB337" s="404">
        <v>3644354</v>
      </c>
      <c r="CC337" s="404">
        <v>76239545</v>
      </c>
      <c r="CD337" s="404">
        <v>18992311</v>
      </c>
      <c r="CE337" s="404">
        <v>1185862</v>
      </c>
      <c r="CF337" s="404">
        <v>1188323</v>
      </c>
      <c r="CG337" s="404">
        <v>200582</v>
      </c>
      <c r="CH337" s="404">
        <v>1112059</v>
      </c>
      <c r="CI337" s="404">
        <v>60424030</v>
      </c>
      <c r="CJ337" s="404">
        <v>7472441</v>
      </c>
      <c r="CK337" s="404">
        <v>1079801</v>
      </c>
      <c r="CL337" s="404">
        <v>2669560</v>
      </c>
      <c r="CM337" s="404">
        <v>932079</v>
      </c>
      <c r="CN337" s="404">
        <v>12730439</v>
      </c>
      <c r="CO337" s="404">
        <v>2814487</v>
      </c>
      <c r="CP337" s="404">
        <v>1680673</v>
      </c>
      <c r="CQ337" s="404">
        <v>2214807</v>
      </c>
      <c r="CR337" s="404">
        <v>11041040</v>
      </c>
    </row>
    <row r="338" spans="1:96" s="404" customFormat="1" x14ac:dyDescent="0.3">
      <c r="A338" s="404" t="s">
        <v>785</v>
      </c>
      <c r="B338" s="405"/>
      <c r="D338" s="404" t="s">
        <v>793</v>
      </c>
      <c r="F338" s="404">
        <v>246283</v>
      </c>
      <c r="G338" s="404">
        <v>8825103</v>
      </c>
      <c r="H338" s="404">
        <v>1070255</v>
      </c>
      <c r="I338" s="404">
        <v>2873629</v>
      </c>
      <c r="J338" s="404">
        <v>763624</v>
      </c>
      <c r="K338" s="404">
        <v>645791</v>
      </c>
      <c r="L338" s="404">
        <v>33398870</v>
      </c>
      <c r="M338" s="404">
        <v>876837</v>
      </c>
      <c r="N338" s="404">
        <v>731298</v>
      </c>
      <c r="O338" s="404">
        <v>506147</v>
      </c>
      <c r="P338" s="404">
        <v>1415852</v>
      </c>
      <c r="Q338" s="404">
        <v>46901</v>
      </c>
      <c r="R338" s="404">
        <v>254171</v>
      </c>
      <c r="S338" s="404">
        <v>1688071</v>
      </c>
      <c r="T338" s="404">
        <v>1378479</v>
      </c>
      <c r="U338" s="404">
        <v>6890703</v>
      </c>
      <c r="V338" s="404">
        <v>12160905</v>
      </c>
      <c r="W338" s="404">
        <v>4041893</v>
      </c>
      <c r="X338" s="404">
        <v>339304</v>
      </c>
      <c r="Y338" s="404">
        <v>3289354</v>
      </c>
      <c r="Z338" s="404">
        <v>2654283</v>
      </c>
      <c r="AA338" s="404">
        <v>76400</v>
      </c>
      <c r="AB338" s="404">
        <v>10653151</v>
      </c>
      <c r="AC338" s="404">
        <v>2002112</v>
      </c>
      <c r="AD338" s="404">
        <v>809825</v>
      </c>
      <c r="AE338" s="404">
        <v>276030</v>
      </c>
      <c r="AF338" s="404">
        <v>24001609</v>
      </c>
      <c r="AG338" s="404">
        <v>773926</v>
      </c>
      <c r="AH338" s="404">
        <v>3219406</v>
      </c>
      <c r="AI338" s="404">
        <v>2508650</v>
      </c>
      <c r="AJ338" s="404">
        <v>338455</v>
      </c>
      <c r="AK338" s="404">
        <v>2705859</v>
      </c>
      <c r="AL338" s="404">
        <v>3666987</v>
      </c>
      <c r="AM338" s="404">
        <v>2970718</v>
      </c>
      <c r="AN338" s="404">
        <v>1720102</v>
      </c>
      <c r="AO338" s="404">
        <v>237611</v>
      </c>
      <c r="AP338" s="404">
        <v>315224</v>
      </c>
      <c r="AQ338" s="404">
        <v>4806165</v>
      </c>
      <c r="AR338" s="404">
        <v>0</v>
      </c>
      <c r="AS338" s="404">
        <v>144744</v>
      </c>
      <c r="AT338" s="404">
        <v>351006</v>
      </c>
      <c r="AU338" s="404">
        <v>854950</v>
      </c>
      <c r="AV338" s="404">
        <v>102103</v>
      </c>
      <c r="AW338" s="404">
        <v>329306</v>
      </c>
      <c r="AX338" s="404">
        <v>4902413</v>
      </c>
      <c r="AY338" s="404">
        <v>314019</v>
      </c>
      <c r="AZ338" s="404">
        <v>48826459</v>
      </c>
      <c r="BA338" s="404">
        <v>1811590</v>
      </c>
      <c r="BB338" s="404">
        <v>4646401</v>
      </c>
      <c r="BC338" s="404">
        <v>1148842</v>
      </c>
      <c r="BD338" s="404">
        <v>860169</v>
      </c>
      <c r="BE338" s="404">
        <v>1208349</v>
      </c>
      <c r="BF338" s="404">
        <v>233206</v>
      </c>
      <c r="BG338" s="404">
        <v>1074003</v>
      </c>
      <c r="BH338" s="404">
        <v>2971631</v>
      </c>
      <c r="BI338" s="404">
        <v>17663593</v>
      </c>
      <c r="BJ338" s="404">
        <v>394356</v>
      </c>
      <c r="BK338" s="404">
        <v>99720</v>
      </c>
      <c r="BL338" s="404">
        <v>11632280</v>
      </c>
      <c r="BM338" s="404">
        <v>12322105</v>
      </c>
      <c r="BN338" s="404">
        <v>7896743</v>
      </c>
      <c r="BO338" s="404">
        <v>96148</v>
      </c>
      <c r="BP338" s="404">
        <v>2038422</v>
      </c>
      <c r="BQ338" s="404">
        <v>1649788</v>
      </c>
      <c r="BR338" s="404">
        <v>7396336</v>
      </c>
      <c r="BS338" s="404">
        <v>1041683</v>
      </c>
      <c r="BT338" s="404">
        <v>623855</v>
      </c>
      <c r="BU338" s="404">
        <v>2388360</v>
      </c>
      <c r="BV338" s="404">
        <v>3748478</v>
      </c>
      <c r="BW338" s="404">
        <v>0</v>
      </c>
      <c r="BX338" s="404">
        <v>1637324</v>
      </c>
      <c r="BY338" s="404">
        <v>5449895</v>
      </c>
      <c r="BZ338" s="404">
        <v>187378</v>
      </c>
      <c r="CA338" s="404">
        <v>0</v>
      </c>
      <c r="CB338" s="404">
        <v>5999267</v>
      </c>
      <c r="CC338" s="404">
        <v>106173885</v>
      </c>
      <c r="CD338" s="404">
        <v>56666238</v>
      </c>
      <c r="CE338" s="404">
        <v>1229842</v>
      </c>
      <c r="CF338" s="404">
        <v>2832773</v>
      </c>
      <c r="CG338" s="404">
        <v>639219</v>
      </c>
      <c r="CH338" s="404">
        <v>1324201</v>
      </c>
      <c r="CI338" s="404">
        <v>209871098</v>
      </c>
      <c r="CJ338" s="404">
        <v>10499625</v>
      </c>
      <c r="CK338" s="404">
        <v>358603</v>
      </c>
      <c r="CL338" s="404">
        <v>4625086</v>
      </c>
      <c r="CM338" s="404">
        <v>339909</v>
      </c>
      <c r="CN338" s="404">
        <v>12761049</v>
      </c>
      <c r="CO338" s="404">
        <v>2580123</v>
      </c>
      <c r="CP338" s="404">
        <v>919268</v>
      </c>
      <c r="CQ338" s="404">
        <v>2371371</v>
      </c>
      <c r="CR338" s="404">
        <v>10186882</v>
      </c>
    </row>
    <row r="339" spans="1:96" s="408" customFormat="1" x14ac:dyDescent="0.3">
      <c r="A339" s="408" t="s">
        <v>1087</v>
      </c>
      <c r="B339" s="409"/>
      <c r="D339" s="408" t="s">
        <v>867</v>
      </c>
      <c r="F339" s="1128">
        <v>2.4981</v>
      </c>
      <c r="G339" s="1128">
        <v>1.0024999999999999</v>
      </c>
      <c r="H339" s="1128">
        <v>0.85840000000000005</v>
      </c>
      <c r="I339" s="1128">
        <v>0.39850000000000002</v>
      </c>
      <c r="J339" s="1128">
        <v>0.5554</v>
      </c>
      <c r="K339" s="1128">
        <v>1.1565000000000001</v>
      </c>
      <c r="L339" s="1128">
        <v>0.57210000000000005</v>
      </c>
      <c r="M339" s="1128">
        <v>0.5131</v>
      </c>
      <c r="N339" s="1128">
        <v>0.3377</v>
      </c>
      <c r="O339" s="1128">
        <v>5.7587999999999999</v>
      </c>
      <c r="P339" s="1128">
        <v>0.49559999999999998</v>
      </c>
      <c r="Q339" s="1128">
        <v>5.4801000000000002</v>
      </c>
      <c r="R339" s="1128">
        <v>1.1067</v>
      </c>
      <c r="S339" s="1128">
        <v>0.67969999999999997</v>
      </c>
      <c r="T339" s="1128">
        <v>4.9829999999999997</v>
      </c>
      <c r="U339" s="1128">
        <v>1.2528999999999999</v>
      </c>
      <c r="V339" s="1128">
        <v>0.45500000000000002</v>
      </c>
      <c r="W339" s="1128">
        <v>0.6452</v>
      </c>
      <c r="X339" s="1128">
        <v>11.154299999999999</v>
      </c>
      <c r="Y339" s="1128">
        <v>1.6953</v>
      </c>
      <c r="Z339" s="1128">
        <v>0.70030000000000003</v>
      </c>
      <c r="AA339" s="1128">
        <v>0.76859999999999995</v>
      </c>
      <c r="AB339" s="1128">
        <v>0.21990000000000001</v>
      </c>
      <c r="AC339" s="1128">
        <v>0.42330000000000001</v>
      </c>
      <c r="AD339" s="1128">
        <v>0.63</v>
      </c>
      <c r="AE339" s="1128">
        <v>2.0903</v>
      </c>
      <c r="AF339" s="1128">
        <v>0.39229999999999998</v>
      </c>
      <c r="AG339" s="1128">
        <v>1.9370000000000001</v>
      </c>
      <c r="AH339" s="1128">
        <v>0.85289999999999999</v>
      </c>
      <c r="AI339" s="1128">
        <v>0.75449999999999995</v>
      </c>
      <c r="AJ339" s="1128">
        <v>1.9367000000000001</v>
      </c>
      <c r="AK339" s="1128">
        <v>2.3685999999999998</v>
      </c>
      <c r="AL339" s="1128">
        <v>0.72150000000000003</v>
      </c>
      <c r="AM339" s="1128">
        <v>0.36509999999999998</v>
      </c>
      <c r="AN339" s="1128">
        <v>0.74390000000000001</v>
      </c>
      <c r="AO339" s="1128">
        <v>0.3957</v>
      </c>
      <c r="AP339" s="1128">
        <v>9.7150999999999996</v>
      </c>
      <c r="AQ339" s="1128">
        <v>0.76170000000000004</v>
      </c>
      <c r="AR339" s="1128" t="e">
        <v>#DIV/0!</v>
      </c>
      <c r="AS339" s="1128">
        <v>2.5760000000000001</v>
      </c>
      <c r="AT339" s="1128">
        <v>4.5111999999999997</v>
      </c>
      <c r="AU339" s="1128">
        <v>0.50090000000000001</v>
      </c>
      <c r="AV339" s="1128">
        <v>0.60289999999999999</v>
      </c>
      <c r="AW339" s="1128">
        <v>0.3498</v>
      </c>
      <c r="AX339" s="1128">
        <v>0.58089999999999997</v>
      </c>
      <c r="AY339" s="1128">
        <v>3.0567000000000002</v>
      </c>
      <c r="AZ339" s="1128">
        <v>0.24210000000000001</v>
      </c>
      <c r="BA339" s="1128">
        <v>2.3624999999999998</v>
      </c>
      <c r="BB339" s="1128">
        <v>0.48</v>
      </c>
      <c r="BC339" s="1128">
        <v>2.4901</v>
      </c>
      <c r="BD339" s="1128">
        <v>1.4394</v>
      </c>
      <c r="BE339" s="1128">
        <v>1.1040000000000001</v>
      </c>
      <c r="BF339" s="1128">
        <v>0.95760000000000001</v>
      </c>
      <c r="BG339" s="1128">
        <v>0.79190000000000005</v>
      </c>
      <c r="BH339" s="1128">
        <v>0.72760000000000002</v>
      </c>
      <c r="BI339" s="1128">
        <v>0.16669999999999999</v>
      </c>
      <c r="BJ339" s="1128">
        <v>0.89570000000000005</v>
      </c>
      <c r="BK339" s="1128">
        <v>2.4074</v>
      </c>
      <c r="BL339" s="1128">
        <v>0.57979999999999998</v>
      </c>
      <c r="BM339" s="1128">
        <v>0.68630000000000002</v>
      </c>
      <c r="BN339" s="1128">
        <v>0.83879999999999999</v>
      </c>
      <c r="BO339" s="1128">
        <v>1.306</v>
      </c>
      <c r="BP339" s="1128">
        <v>1.6051</v>
      </c>
      <c r="BQ339" s="1128">
        <v>0.9395</v>
      </c>
      <c r="BR339" s="1128">
        <v>0.98360000000000003</v>
      </c>
      <c r="BS339" s="1128">
        <v>1.4308000000000001</v>
      </c>
      <c r="BT339" s="1128">
        <v>2.5445000000000002</v>
      </c>
      <c r="BU339" s="1128">
        <v>0.91369999999999996</v>
      </c>
      <c r="BV339" s="1128">
        <v>0.36059999999999998</v>
      </c>
      <c r="BW339" s="408" t="e">
        <v>#DIV/0!</v>
      </c>
      <c r="BX339" s="1128">
        <v>0.51870000000000005</v>
      </c>
      <c r="BY339" s="1128">
        <v>0.4703</v>
      </c>
      <c r="BZ339" s="1128">
        <v>3.1898</v>
      </c>
      <c r="CA339" s="408" t="e">
        <v>#DIV/0!</v>
      </c>
      <c r="CB339" s="1128">
        <v>0.60750000000000004</v>
      </c>
      <c r="CC339" s="1128">
        <v>0.71809999999999996</v>
      </c>
      <c r="CD339" s="1128">
        <v>0.3352</v>
      </c>
      <c r="CE339" s="1128">
        <v>0.96419999999999995</v>
      </c>
      <c r="CF339" s="1128">
        <v>0.41949999999999998</v>
      </c>
      <c r="CG339" s="1128">
        <v>0.31380000000000002</v>
      </c>
      <c r="CH339" s="1128">
        <v>0.83979999999999999</v>
      </c>
      <c r="CI339" s="1128">
        <v>0.28789999999999999</v>
      </c>
      <c r="CJ339" s="1128">
        <v>0.7117</v>
      </c>
      <c r="CK339" s="1128">
        <v>3.0110999999999999</v>
      </c>
      <c r="CL339" s="1128">
        <v>0.57720000000000005</v>
      </c>
      <c r="CM339" s="1128">
        <v>2.7421000000000002</v>
      </c>
      <c r="CN339" s="1128">
        <v>0.99760000000000004</v>
      </c>
      <c r="CO339" s="1128">
        <v>1.0908</v>
      </c>
      <c r="CP339" s="1128">
        <v>1.8283</v>
      </c>
      <c r="CQ339" s="1128">
        <v>0.93400000000000005</v>
      </c>
      <c r="CR339" s="1128">
        <v>1.0838000000000001</v>
      </c>
    </row>
    <row r="340" spans="1:96" s="404" customFormat="1" x14ac:dyDescent="0.3">
      <c r="A340" s="404" t="s">
        <v>788</v>
      </c>
      <c r="B340" s="405"/>
      <c r="D340" s="404" t="s">
        <v>1689</v>
      </c>
      <c r="F340" s="404">
        <v>0</v>
      </c>
      <c r="G340" s="404">
        <v>0</v>
      </c>
      <c r="H340" s="404">
        <v>0</v>
      </c>
      <c r="I340" s="404">
        <v>483375</v>
      </c>
      <c r="J340" s="404">
        <v>145160</v>
      </c>
      <c r="K340" s="404">
        <v>0</v>
      </c>
      <c r="L340" s="404">
        <v>2663954</v>
      </c>
      <c r="M340" s="404">
        <v>60804</v>
      </c>
      <c r="N340" s="404">
        <v>0</v>
      </c>
      <c r="O340" s="404">
        <v>0</v>
      </c>
      <c r="P340" s="404">
        <v>109931</v>
      </c>
      <c r="Q340" s="404">
        <v>0</v>
      </c>
      <c r="R340" s="404">
        <v>27728</v>
      </c>
      <c r="S340" s="404">
        <v>0</v>
      </c>
      <c r="T340" s="404">
        <v>0</v>
      </c>
      <c r="U340" s="404">
        <v>0</v>
      </c>
      <c r="V340" s="404">
        <v>2304571</v>
      </c>
      <c r="W340" s="404">
        <v>0</v>
      </c>
      <c r="X340" s="404">
        <v>0</v>
      </c>
      <c r="Y340" s="404">
        <v>0</v>
      </c>
      <c r="Z340" s="404">
        <v>175480</v>
      </c>
      <c r="AA340" s="404">
        <v>0</v>
      </c>
      <c r="AB340" s="404">
        <v>29478</v>
      </c>
      <c r="AC340" s="404">
        <v>360068</v>
      </c>
      <c r="AD340" s="404">
        <v>0</v>
      </c>
      <c r="AE340" s="404">
        <v>43098</v>
      </c>
      <c r="AF340" s="404">
        <v>3980574</v>
      </c>
      <c r="AG340" s="404">
        <v>0</v>
      </c>
      <c r="AH340" s="404">
        <v>294642</v>
      </c>
      <c r="AI340" s="404">
        <v>0</v>
      </c>
      <c r="AJ340" s="404">
        <v>0</v>
      </c>
      <c r="AK340" s="404">
        <v>784572</v>
      </c>
      <c r="AL340" s="404">
        <v>266330</v>
      </c>
      <c r="AM340" s="404">
        <v>99405</v>
      </c>
      <c r="AN340" s="404">
        <v>282750</v>
      </c>
      <c r="AO340" s="404">
        <v>3147</v>
      </c>
      <c r="AP340" s="404">
        <v>0</v>
      </c>
      <c r="AQ340" s="404">
        <v>305135</v>
      </c>
      <c r="AR340" s="404">
        <v>0</v>
      </c>
      <c r="AS340" s="404">
        <v>0</v>
      </c>
      <c r="AT340" s="404">
        <v>0</v>
      </c>
      <c r="AU340" s="404">
        <v>0</v>
      </c>
      <c r="AV340" s="404">
        <v>0</v>
      </c>
      <c r="AW340" s="404">
        <v>14072</v>
      </c>
      <c r="AX340" s="404">
        <v>97595</v>
      </c>
      <c r="AY340" s="404">
        <v>0</v>
      </c>
      <c r="AZ340" s="404">
        <v>0</v>
      </c>
      <c r="BA340" s="404">
        <v>0</v>
      </c>
      <c r="BB340" s="404">
        <v>496359</v>
      </c>
      <c r="BC340" s="404">
        <v>0</v>
      </c>
      <c r="BD340" s="404">
        <v>118277</v>
      </c>
      <c r="BE340" s="404">
        <v>89295</v>
      </c>
      <c r="BF340" s="404">
        <v>0</v>
      </c>
      <c r="BG340" s="404">
        <v>29922</v>
      </c>
      <c r="BH340" s="404">
        <v>165249</v>
      </c>
      <c r="BI340" s="404">
        <v>233996</v>
      </c>
      <c r="BJ340" s="404">
        <v>0</v>
      </c>
      <c r="BK340" s="404">
        <v>0</v>
      </c>
      <c r="BL340" s="404">
        <v>0</v>
      </c>
      <c r="BM340" s="404">
        <v>189408</v>
      </c>
      <c r="BN340" s="404">
        <v>218140</v>
      </c>
      <c r="BO340" s="404">
        <v>0</v>
      </c>
      <c r="BP340" s="404">
        <v>0</v>
      </c>
      <c r="BQ340" s="404">
        <v>0</v>
      </c>
      <c r="BR340" s="404">
        <v>0</v>
      </c>
      <c r="BS340" s="404">
        <v>0</v>
      </c>
      <c r="BT340" s="404">
        <v>0</v>
      </c>
      <c r="BU340" s="404">
        <v>145484</v>
      </c>
      <c r="BV340" s="404">
        <v>0</v>
      </c>
      <c r="BW340" s="404">
        <v>0</v>
      </c>
      <c r="BX340" s="404">
        <v>36532</v>
      </c>
      <c r="BY340" s="404">
        <v>387959</v>
      </c>
      <c r="BZ340" s="404">
        <v>0</v>
      </c>
      <c r="CA340" s="404">
        <v>0</v>
      </c>
      <c r="CB340" s="404">
        <v>825154</v>
      </c>
      <c r="CC340" s="404">
        <v>0</v>
      </c>
      <c r="CD340" s="404">
        <v>4003073</v>
      </c>
      <c r="CE340" s="404">
        <v>174847</v>
      </c>
      <c r="CF340" s="404">
        <v>40863</v>
      </c>
      <c r="CG340" s="404">
        <v>60786</v>
      </c>
      <c r="CH340" s="404">
        <v>266706</v>
      </c>
      <c r="CI340" s="404">
        <v>35563669</v>
      </c>
      <c r="CJ340" s="404">
        <v>473800</v>
      </c>
      <c r="CK340" s="404">
        <v>21874</v>
      </c>
      <c r="CL340" s="404">
        <v>0</v>
      </c>
      <c r="CM340" s="404">
        <v>0</v>
      </c>
      <c r="CN340" s="404">
        <v>0</v>
      </c>
      <c r="CO340" s="404">
        <v>0</v>
      </c>
      <c r="CP340" s="404">
        <v>317894</v>
      </c>
      <c r="CQ340" s="404">
        <v>0</v>
      </c>
      <c r="CR340" s="404">
        <v>0</v>
      </c>
    </row>
    <row r="341" spans="1:96" s="404" customFormat="1" x14ac:dyDescent="0.3">
      <c r="A341" s="404" t="s">
        <v>843</v>
      </c>
      <c r="B341" s="405"/>
      <c r="D341" s="404" t="s">
        <v>789</v>
      </c>
    </row>
    <row r="342" spans="1:96" s="404" customFormat="1" x14ac:dyDescent="0.3">
      <c r="A342" s="404" t="s">
        <v>791</v>
      </c>
      <c r="B342" s="405"/>
      <c r="D342" s="404" t="s">
        <v>790</v>
      </c>
    </row>
    <row r="343" spans="1:96" s="404" customFormat="1" x14ac:dyDescent="0.3">
      <c r="A343" s="404" t="s">
        <v>794</v>
      </c>
      <c r="B343" s="405"/>
      <c r="D343" s="404" t="s">
        <v>796</v>
      </c>
    </row>
    <row r="344" spans="1:96" s="404" customFormat="1" x14ac:dyDescent="0.3">
      <c r="A344" s="404" t="s">
        <v>795</v>
      </c>
      <c r="B344" s="405"/>
      <c r="D344" s="404" t="s">
        <v>797</v>
      </c>
    </row>
    <row r="345" spans="1:96" s="404" customFormat="1" x14ac:dyDescent="0.3">
      <c r="A345" s="404" t="s">
        <v>865</v>
      </c>
      <c r="B345" s="405"/>
      <c r="D345" s="404" t="s">
        <v>868</v>
      </c>
    </row>
    <row r="346" spans="1:96" s="404" customFormat="1" x14ac:dyDescent="0.3">
      <c r="A346" s="404" t="s">
        <v>866</v>
      </c>
      <c r="B346" s="405"/>
      <c r="D346" s="404" t="s">
        <v>867</v>
      </c>
    </row>
    <row r="347" spans="1:96" s="404" customFormat="1" x14ac:dyDescent="0.3">
      <c r="A347" s="404" t="s">
        <v>1088</v>
      </c>
      <c r="B347" s="405"/>
      <c r="D347" s="404" t="s">
        <v>815</v>
      </c>
      <c r="F347" s="404" t="e">
        <v>#DIV/0!</v>
      </c>
      <c r="G347" s="404" t="e">
        <v>#DIV/0!</v>
      </c>
      <c r="H347" s="404">
        <v>15.67</v>
      </c>
      <c r="I347" s="404">
        <v>1.59</v>
      </c>
      <c r="J347" s="404">
        <v>25.27</v>
      </c>
      <c r="K347" s="404">
        <v>1.36</v>
      </c>
      <c r="L347" s="404">
        <v>5.8</v>
      </c>
      <c r="M347" s="404">
        <v>8.2899999999999991</v>
      </c>
      <c r="N347" s="404" t="e">
        <v>#DIV/0!</v>
      </c>
      <c r="O347" s="404">
        <v>28.29</v>
      </c>
      <c r="P347" s="404">
        <v>1</v>
      </c>
      <c r="Q347" s="404" t="e">
        <v>#DIV/0!</v>
      </c>
      <c r="R347" s="404">
        <v>1.93</v>
      </c>
      <c r="S347" s="404" t="e">
        <v>#DIV/0!</v>
      </c>
      <c r="T347" s="404" t="e">
        <v>#DIV/0!</v>
      </c>
      <c r="U347" s="404" t="e">
        <v>#DIV/0!</v>
      </c>
      <c r="V347" s="404">
        <v>19.190000000000001</v>
      </c>
      <c r="W347" s="404" t="e">
        <v>#DIV/0!</v>
      </c>
      <c r="X347" s="404">
        <v>20.68</v>
      </c>
      <c r="Y347" s="404" t="e">
        <v>#DIV/0!</v>
      </c>
      <c r="Z347" s="404">
        <v>3.97</v>
      </c>
      <c r="AA347" s="404" t="e">
        <v>#DIV/0!</v>
      </c>
      <c r="AB347" s="404">
        <v>22.37</v>
      </c>
      <c r="AC347" s="404">
        <v>6.24</v>
      </c>
      <c r="AD347" s="404">
        <v>0.42</v>
      </c>
      <c r="AE347" s="404">
        <v>2.74</v>
      </c>
      <c r="AF347" s="404">
        <v>2.92</v>
      </c>
      <c r="AG347" s="404" t="e">
        <v>#DIV/0!</v>
      </c>
      <c r="AH347" s="404">
        <v>5.38</v>
      </c>
      <c r="AI347" s="404" t="e">
        <v>#DIV/0!</v>
      </c>
      <c r="AJ347" s="404">
        <v>25.84</v>
      </c>
      <c r="AK347" s="404">
        <v>1.1299999999999999</v>
      </c>
      <c r="AL347" s="404">
        <v>5.29</v>
      </c>
      <c r="AM347" s="404">
        <v>2.57</v>
      </c>
      <c r="AN347" s="404">
        <v>2.56</v>
      </c>
      <c r="AO347" s="404">
        <v>9.85</v>
      </c>
      <c r="AP347" s="404" t="e">
        <v>#DIV/0!</v>
      </c>
      <c r="AQ347" s="404">
        <v>4.25</v>
      </c>
      <c r="AR347" s="404" t="e">
        <v>#DIV/0!</v>
      </c>
      <c r="AS347" s="404" t="e">
        <v>#DIV/0!</v>
      </c>
      <c r="AT347" s="404" t="e">
        <v>#DIV/0!</v>
      </c>
      <c r="AU347" s="404" t="e">
        <v>#DIV/0!</v>
      </c>
      <c r="AV347" s="404" t="e">
        <v>#DIV/0!</v>
      </c>
      <c r="AW347" s="404">
        <v>6.98</v>
      </c>
      <c r="AX347" s="404">
        <v>14.5</v>
      </c>
      <c r="AY347" s="404">
        <v>17.14</v>
      </c>
      <c r="AZ347" s="404" t="e">
        <v>#DIV/0!</v>
      </c>
      <c r="BA347" s="404">
        <v>2.17</v>
      </c>
      <c r="BB347" s="404">
        <v>18.37</v>
      </c>
      <c r="BC347" s="404" t="e">
        <v>#DIV/0!</v>
      </c>
      <c r="BD347" s="404">
        <v>12.58</v>
      </c>
      <c r="BE347" s="404">
        <v>10.26</v>
      </c>
      <c r="BF347" s="404">
        <v>1.38</v>
      </c>
      <c r="BG347" s="404">
        <v>3.77</v>
      </c>
      <c r="BH347" s="404">
        <v>8.39</v>
      </c>
      <c r="BI347" s="404">
        <v>18.87</v>
      </c>
      <c r="BJ347" s="404" t="e">
        <v>#DIV/0!</v>
      </c>
      <c r="BK347" s="404" t="e">
        <v>#DIV/0!</v>
      </c>
      <c r="BL347" s="404" t="e">
        <v>#DIV/0!</v>
      </c>
      <c r="BM347" s="404">
        <v>14.27</v>
      </c>
      <c r="BN347" s="404">
        <v>5.13</v>
      </c>
      <c r="BO347" s="404" t="e">
        <v>#DIV/0!</v>
      </c>
      <c r="BP347" s="404" t="e">
        <v>#DIV/0!</v>
      </c>
      <c r="BQ347" s="404">
        <v>37.64</v>
      </c>
      <c r="BR347" s="404" t="e">
        <v>#DIV/0!</v>
      </c>
      <c r="BS347" s="404" t="e">
        <v>#DIV/0!</v>
      </c>
      <c r="BT347" s="404" t="e">
        <v>#DIV/0!</v>
      </c>
      <c r="BU347" s="404">
        <v>7.16</v>
      </c>
      <c r="BV347" s="404" t="e">
        <v>#DIV/0!</v>
      </c>
      <c r="BW347" s="404" t="e">
        <v>#DIV/0!</v>
      </c>
      <c r="BX347" s="404">
        <v>14.32</v>
      </c>
      <c r="BY347" s="404">
        <v>3.32</v>
      </c>
      <c r="BZ347" s="404">
        <v>33.69</v>
      </c>
      <c r="CA347" s="404" t="e">
        <v>#DIV/0!</v>
      </c>
      <c r="CB347" s="404">
        <v>10.74</v>
      </c>
      <c r="CC347" s="404" t="e">
        <v>#DIV/0!</v>
      </c>
      <c r="CD347" s="404">
        <v>6.34</v>
      </c>
      <c r="CE347" s="404">
        <v>78.84</v>
      </c>
      <c r="CF347" s="404">
        <v>18.77</v>
      </c>
      <c r="CG347" s="404">
        <v>0.74</v>
      </c>
      <c r="CH347" s="404">
        <v>3.28</v>
      </c>
      <c r="CI347" s="404">
        <v>2.93</v>
      </c>
      <c r="CJ347" s="404">
        <v>4.07</v>
      </c>
      <c r="CK347" s="404">
        <v>3.56</v>
      </c>
      <c r="CL347" s="404" t="e">
        <v>#DIV/0!</v>
      </c>
      <c r="CM347" s="404">
        <v>6.46</v>
      </c>
      <c r="CN347" s="404">
        <v>68.760000000000005</v>
      </c>
      <c r="CO347" s="404">
        <v>96.52</v>
      </c>
      <c r="CP347" s="404">
        <v>7.86</v>
      </c>
      <c r="CQ347" s="404" t="e">
        <v>#DIV/0!</v>
      </c>
      <c r="CR347" s="404" t="e">
        <v>#DIV/0!</v>
      </c>
    </row>
    <row r="348" spans="1:96" s="404" customFormat="1" x14ac:dyDescent="0.3">
      <c r="A348" s="404" t="s">
        <v>1097</v>
      </c>
      <c r="B348" s="405"/>
      <c r="D348" s="404" t="s">
        <v>1264</v>
      </c>
      <c r="F348" s="404" t="s">
        <v>1797</v>
      </c>
      <c r="G348" s="404" t="s">
        <v>1797</v>
      </c>
      <c r="H348" s="404">
        <v>143622</v>
      </c>
      <c r="I348" s="404">
        <v>-92523</v>
      </c>
      <c r="J348" s="404">
        <v>259963</v>
      </c>
      <c r="K348" s="404">
        <v>-12919</v>
      </c>
      <c r="L348" s="404">
        <v>1437452</v>
      </c>
      <c r="M348" s="404">
        <v>18026</v>
      </c>
      <c r="N348" s="404" t="s">
        <v>1797</v>
      </c>
      <c r="O348" s="404">
        <v>32106</v>
      </c>
      <c r="P348" s="404">
        <v>16120</v>
      </c>
      <c r="Q348" s="404" t="s">
        <v>1797</v>
      </c>
      <c r="R348" s="404">
        <v>13324</v>
      </c>
      <c r="S348" s="404" t="s">
        <v>1797</v>
      </c>
      <c r="T348" s="404" t="s">
        <v>1797</v>
      </c>
      <c r="U348" s="404" t="s">
        <v>1797</v>
      </c>
      <c r="V348" s="404">
        <v>1533823</v>
      </c>
      <c r="W348" s="404" t="s">
        <v>1797</v>
      </c>
      <c r="X348" s="404">
        <v>239931</v>
      </c>
      <c r="Y348" s="404" t="s">
        <v>1797</v>
      </c>
      <c r="Z348" s="404">
        <v>-110213</v>
      </c>
      <c r="AA348" s="404" t="s">
        <v>1797</v>
      </c>
      <c r="AB348" s="404">
        <v>527928</v>
      </c>
      <c r="AC348" s="404">
        <v>-42114</v>
      </c>
      <c r="AD348" s="404">
        <v>11572</v>
      </c>
      <c r="AE348" s="404">
        <v>19275</v>
      </c>
      <c r="AF348" s="404">
        <v>1776070</v>
      </c>
      <c r="AG348" s="404" t="s">
        <v>1797</v>
      </c>
      <c r="AH348" s="404">
        <v>-81178</v>
      </c>
      <c r="AI348" s="404" t="s">
        <v>1797</v>
      </c>
      <c r="AJ348" s="404">
        <v>38498</v>
      </c>
      <c r="AK348" s="404">
        <v>-980782</v>
      </c>
      <c r="AL348" s="404">
        <v>1089211</v>
      </c>
      <c r="AM348" s="404">
        <v>4623</v>
      </c>
      <c r="AN348" s="404">
        <v>-177267</v>
      </c>
      <c r="AO348" s="404">
        <v>-1818</v>
      </c>
      <c r="AP348" s="404" t="s">
        <v>1797</v>
      </c>
      <c r="AQ348" s="404">
        <v>533229</v>
      </c>
      <c r="AR348" s="404" t="s">
        <v>1797</v>
      </c>
      <c r="AS348" s="404" t="s">
        <v>1797</v>
      </c>
      <c r="AT348" s="404" t="s">
        <v>1797</v>
      </c>
      <c r="AU348" s="404" t="s">
        <v>1797</v>
      </c>
      <c r="AV348" s="404" t="s">
        <v>1797</v>
      </c>
      <c r="AW348" s="404">
        <v>-56132</v>
      </c>
      <c r="AX348" s="404">
        <v>454125</v>
      </c>
      <c r="AY348" s="404">
        <v>54723</v>
      </c>
      <c r="AZ348" s="404" t="s">
        <v>1797</v>
      </c>
      <c r="BA348" s="404" t="s">
        <v>1797</v>
      </c>
      <c r="BB348" s="404">
        <v>285277</v>
      </c>
      <c r="BC348" s="404" t="s">
        <v>1797</v>
      </c>
      <c r="BD348" s="404">
        <v>77202</v>
      </c>
      <c r="BE348" s="404">
        <v>74984</v>
      </c>
      <c r="BF348" s="404">
        <v>9012</v>
      </c>
      <c r="BG348" s="404">
        <v>-85599</v>
      </c>
      <c r="BH348" s="404">
        <v>331242</v>
      </c>
      <c r="BI348" s="404">
        <v>1102709</v>
      </c>
      <c r="BJ348" s="404" t="s">
        <v>1797</v>
      </c>
      <c r="BK348" s="404" t="s">
        <v>1797</v>
      </c>
      <c r="BL348" s="404" t="s">
        <v>1797</v>
      </c>
      <c r="BM348" s="404">
        <v>702973</v>
      </c>
      <c r="BN348" s="404">
        <v>567346</v>
      </c>
      <c r="BO348" s="404" t="s">
        <v>1797</v>
      </c>
      <c r="BP348" s="404" t="s">
        <v>1797</v>
      </c>
      <c r="BQ348" s="404">
        <v>311868</v>
      </c>
      <c r="BR348" s="404" t="s">
        <v>1797</v>
      </c>
      <c r="BS348" s="404" t="s">
        <v>1797</v>
      </c>
      <c r="BT348" s="404" t="s">
        <v>1797</v>
      </c>
      <c r="BU348" s="404">
        <v>55909</v>
      </c>
      <c r="BV348" s="404" t="s">
        <v>1797</v>
      </c>
      <c r="BW348" s="404" t="s">
        <v>1797</v>
      </c>
      <c r="BX348" s="404">
        <v>404275</v>
      </c>
      <c r="BY348" s="404">
        <v>-175963</v>
      </c>
      <c r="BZ348" s="404">
        <v>6026</v>
      </c>
      <c r="CA348" s="404" t="s">
        <v>1797</v>
      </c>
      <c r="CB348" s="404">
        <v>64868</v>
      </c>
      <c r="CC348" s="404" t="s">
        <v>1797</v>
      </c>
      <c r="CD348" s="404">
        <v>6054887</v>
      </c>
      <c r="CE348" s="404">
        <v>30336</v>
      </c>
      <c r="CF348" s="404">
        <v>208323</v>
      </c>
      <c r="CG348" s="404">
        <v>-7677</v>
      </c>
      <c r="CH348" s="404">
        <v>264816</v>
      </c>
      <c r="CI348" s="404">
        <v>52117131</v>
      </c>
      <c r="CJ348" s="404">
        <v>335735</v>
      </c>
      <c r="CK348" s="404">
        <v>70778</v>
      </c>
      <c r="CL348" s="404" t="s">
        <v>1797</v>
      </c>
      <c r="CM348" s="404">
        <v>118691</v>
      </c>
      <c r="CN348" s="404">
        <v>716096</v>
      </c>
      <c r="CO348" s="404">
        <v>329915</v>
      </c>
      <c r="CP348" s="404">
        <v>173408</v>
      </c>
      <c r="CQ348" s="404" t="s">
        <v>1797</v>
      </c>
      <c r="CR348" s="404" t="s">
        <v>1797</v>
      </c>
    </row>
    <row r="349" spans="1:96" s="404" customFormat="1" x14ac:dyDescent="0.3">
      <c r="A349" s="404" t="s">
        <v>1096</v>
      </c>
      <c r="B349" s="405"/>
      <c r="D349" s="404" t="s">
        <v>1098</v>
      </c>
      <c r="F349" s="1168" t="e">
        <v>#DIV/0!</v>
      </c>
      <c r="G349" s="1168" t="e">
        <v>#DIV/0!</v>
      </c>
      <c r="H349" s="1168">
        <v>1.79</v>
      </c>
      <c r="I349" s="1168">
        <v>0.31</v>
      </c>
      <c r="J349" s="1168">
        <v>3.33</v>
      </c>
      <c r="K349" s="1168">
        <v>0.16</v>
      </c>
      <c r="L349" s="1168">
        <v>1.56</v>
      </c>
      <c r="M349" s="1168">
        <v>1.27</v>
      </c>
      <c r="N349" s="1168" t="e">
        <v>#DIV/0!</v>
      </c>
      <c r="O349" s="1168">
        <v>3.53</v>
      </c>
      <c r="P349" s="1168">
        <v>0.14000000000000001</v>
      </c>
      <c r="Q349" s="1168" t="e">
        <v>#DIV/0!</v>
      </c>
      <c r="R349" s="1168">
        <v>0.22</v>
      </c>
      <c r="S349" s="1168" t="e">
        <v>#DIV/0!</v>
      </c>
      <c r="T349" s="1168" t="e">
        <v>#DIV/0!</v>
      </c>
      <c r="U349" s="1168" t="e">
        <v>#DIV/0!</v>
      </c>
      <c r="V349" s="1168">
        <v>1.05</v>
      </c>
      <c r="W349" s="1168" t="e">
        <v>#DIV/0!</v>
      </c>
      <c r="X349" s="1168">
        <v>3.76</v>
      </c>
      <c r="Y349" s="1168" t="e">
        <v>#DIV/0!</v>
      </c>
      <c r="Z349" s="1168">
        <v>1.41</v>
      </c>
      <c r="AA349" s="1168" t="e">
        <v>#DIV/0!</v>
      </c>
      <c r="AB349" s="1168">
        <v>0.57999999999999996</v>
      </c>
      <c r="AC349" s="1168">
        <v>0.91</v>
      </c>
      <c r="AD349" s="1168">
        <v>0.77</v>
      </c>
      <c r="AE349" s="1168">
        <v>0.84</v>
      </c>
      <c r="AF349" s="1168">
        <v>0.88</v>
      </c>
      <c r="AG349" s="1168" t="e">
        <v>#DIV/0!</v>
      </c>
      <c r="AH349" s="1168">
        <v>2.16</v>
      </c>
      <c r="AI349" s="1168" t="e">
        <v>#DIV/0!</v>
      </c>
      <c r="AJ349" s="1168">
        <v>0.57999999999999996</v>
      </c>
      <c r="AK349" s="1168">
        <v>0.6</v>
      </c>
      <c r="AL349" s="1168">
        <v>0.56999999999999995</v>
      </c>
      <c r="AM349" s="1168">
        <v>0.24</v>
      </c>
      <c r="AN349" s="1168">
        <v>0.15</v>
      </c>
      <c r="AO349" s="1168">
        <v>1.1299999999999999</v>
      </c>
      <c r="AP349" s="1168" t="e">
        <v>#DIV/0!</v>
      </c>
      <c r="AQ349" s="1168">
        <v>0.18</v>
      </c>
      <c r="AR349" s="1168" t="e">
        <v>#DIV/0!</v>
      </c>
      <c r="AS349" s="1168" t="e">
        <v>#DIV/0!</v>
      </c>
      <c r="AT349" s="1168" t="e">
        <v>#DIV/0!</v>
      </c>
      <c r="AU349" s="1168" t="e">
        <v>#DIV/0!</v>
      </c>
      <c r="AV349" s="1168" t="e">
        <v>#DIV/0!</v>
      </c>
      <c r="AW349" s="1168">
        <v>1.1000000000000001</v>
      </c>
      <c r="AX349" s="1168">
        <v>0.99</v>
      </c>
      <c r="AY349" s="1168">
        <v>2.14</v>
      </c>
      <c r="AZ349" s="1168" t="e">
        <v>#DIV/0!</v>
      </c>
      <c r="BA349" s="1168" t="e">
        <v>#DIV/0!</v>
      </c>
      <c r="BB349" s="1168">
        <v>0.7</v>
      </c>
      <c r="BC349" s="1168" t="e">
        <v>#DIV/0!</v>
      </c>
      <c r="BD349" s="1168">
        <v>1.84</v>
      </c>
      <c r="BE349" s="1168">
        <v>3.27</v>
      </c>
      <c r="BF349" s="1168">
        <v>0.78</v>
      </c>
      <c r="BG349" s="1168">
        <v>0.35</v>
      </c>
      <c r="BH349" s="1168">
        <v>1.72</v>
      </c>
      <c r="BI349" s="1168">
        <v>1.22</v>
      </c>
      <c r="BJ349" s="1168" t="e">
        <v>#DIV/0!</v>
      </c>
      <c r="BK349" s="1168" t="e">
        <v>#DIV/0!</v>
      </c>
      <c r="BL349" s="1168" t="e">
        <v>#DIV/0!</v>
      </c>
      <c r="BM349" s="1168">
        <v>0.78</v>
      </c>
      <c r="BN349" s="1168">
        <v>1.78</v>
      </c>
      <c r="BO349" s="1168" t="e">
        <v>#DIV/0!</v>
      </c>
      <c r="BP349" s="1168" t="e">
        <v>#DIV/0!</v>
      </c>
      <c r="BQ349" s="1168">
        <v>1.5</v>
      </c>
      <c r="BR349" s="1168" t="e">
        <v>#DIV/0!</v>
      </c>
      <c r="BS349" s="1168" t="e">
        <v>#DIV/0!</v>
      </c>
      <c r="BT349" s="1168" t="e">
        <v>#DIV/0!</v>
      </c>
      <c r="BU349" s="1168">
        <v>0.98</v>
      </c>
      <c r="BV349" s="1168" t="e">
        <v>#DIV/0!</v>
      </c>
      <c r="BW349" s="1168" t="e">
        <v>#DIV/0!</v>
      </c>
      <c r="BX349" s="1168">
        <v>1.92</v>
      </c>
      <c r="BY349" s="1168">
        <v>0.83</v>
      </c>
      <c r="BZ349" s="1168">
        <v>4.96</v>
      </c>
      <c r="CA349" s="1168" t="e">
        <v>#DIV/0!</v>
      </c>
      <c r="CB349" s="1168">
        <v>1.82</v>
      </c>
      <c r="CC349" s="1168" t="e">
        <v>#DIV/0!</v>
      </c>
      <c r="CD349" s="1168">
        <v>0.79</v>
      </c>
      <c r="CE349" s="1168">
        <v>0.2</v>
      </c>
      <c r="CF349" s="1168">
        <v>1.78</v>
      </c>
      <c r="CG349" s="1168">
        <v>0.1</v>
      </c>
      <c r="CH349" s="1168">
        <v>0.53</v>
      </c>
      <c r="CI349" s="1168">
        <v>0.9</v>
      </c>
      <c r="CJ349" s="1168">
        <v>0.59</v>
      </c>
      <c r="CK349" s="1168">
        <v>1.98</v>
      </c>
      <c r="CL349" s="1168" t="e">
        <v>#DIV/0!</v>
      </c>
      <c r="CM349" s="1168">
        <v>1.59</v>
      </c>
      <c r="CN349" s="1168">
        <v>2.74</v>
      </c>
      <c r="CO349" s="1168">
        <v>1.57</v>
      </c>
      <c r="CP349" s="1168">
        <v>1.08</v>
      </c>
      <c r="CQ349" s="1168" t="e">
        <v>#DIV/0!</v>
      </c>
      <c r="CR349" s="1168" t="e">
        <v>#DIV/0!</v>
      </c>
    </row>
    <row r="350" spans="1:96" s="404" customFormat="1" x14ac:dyDescent="0.3">
      <c r="A350" s="404" t="s">
        <v>1095</v>
      </c>
      <c r="B350" s="405"/>
      <c r="D350" s="404" t="s">
        <v>1099</v>
      </c>
      <c r="F350" s="404" t="e">
        <v>#DIV/0!</v>
      </c>
      <c r="G350" s="404" t="e">
        <v>#DIV/0!</v>
      </c>
      <c r="H350" s="404" t="e">
        <v>#DIV/0!</v>
      </c>
      <c r="I350" s="404" t="e">
        <v>#DIV/0!</v>
      </c>
      <c r="J350" s="404">
        <v>38.29</v>
      </c>
      <c r="K350" s="404" t="e">
        <v>#DIV/0!</v>
      </c>
      <c r="L350" s="404">
        <v>9.26</v>
      </c>
      <c r="M350" s="404" t="e">
        <v>#DIV/0!</v>
      </c>
      <c r="N350" s="404" t="e">
        <v>#DIV/0!</v>
      </c>
      <c r="O350" s="404" t="e">
        <v>#DIV/0!</v>
      </c>
      <c r="P350" s="404" t="e">
        <v>#DIV/0!</v>
      </c>
      <c r="Q350" s="404" t="e">
        <v>#DIV/0!</v>
      </c>
      <c r="R350" s="404" t="e">
        <v>#DIV/0!</v>
      </c>
      <c r="S350" s="404" t="e">
        <v>#DIV/0!</v>
      </c>
      <c r="T350" s="404" t="e">
        <v>#DIV/0!</v>
      </c>
      <c r="U350" s="404" t="e">
        <v>#DIV/0!</v>
      </c>
      <c r="V350" s="404" t="e">
        <v>#DIV/0!</v>
      </c>
      <c r="W350" s="404" t="e">
        <v>#DIV/0!</v>
      </c>
      <c r="X350" s="404" t="e">
        <v>#DIV/0!</v>
      </c>
      <c r="Y350" s="404" t="e">
        <v>#DIV/0!</v>
      </c>
      <c r="Z350" s="404" t="e">
        <v>#DIV/0!</v>
      </c>
      <c r="AA350" s="404" t="e">
        <v>#DIV/0!</v>
      </c>
      <c r="AB350" s="404">
        <v>9.8699999999999992</v>
      </c>
      <c r="AC350" s="404" t="e">
        <v>#DIV/0!</v>
      </c>
      <c r="AD350" s="404" t="e">
        <v>#DIV/0!</v>
      </c>
      <c r="AE350" s="404" t="e">
        <v>#DIV/0!</v>
      </c>
      <c r="AF350" s="404" t="e">
        <v>#DIV/0!</v>
      </c>
      <c r="AG350" s="404" t="e">
        <v>#DIV/0!</v>
      </c>
      <c r="AH350" s="404" t="e">
        <v>#DIV/0!</v>
      </c>
      <c r="AI350" s="404" t="e">
        <v>#DIV/0!</v>
      </c>
      <c r="AJ350" s="404" t="e">
        <v>#DIV/0!</v>
      </c>
      <c r="AK350" s="404" t="e">
        <v>#DIV/0!</v>
      </c>
      <c r="AL350" s="404" t="e">
        <v>#DIV/0!</v>
      </c>
      <c r="AM350" s="404" t="e">
        <v>#DIV/0!</v>
      </c>
      <c r="AN350" s="404" t="e">
        <v>#DIV/0!</v>
      </c>
      <c r="AO350" s="404" t="e">
        <v>#DIV/0!</v>
      </c>
      <c r="AP350" s="404" t="e">
        <v>#DIV/0!</v>
      </c>
      <c r="AQ350" s="404" t="e">
        <v>#DIV/0!</v>
      </c>
      <c r="AR350" s="404" t="e">
        <v>#DIV/0!</v>
      </c>
      <c r="AS350" s="404" t="e">
        <v>#DIV/0!</v>
      </c>
      <c r="AT350" s="404" t="e">
        <v>#DIV/0!</v>
      </c>
      <c r="AU350" s="404" t="e">
        <v>#DIV/0!</v>
      </c>
      <c r="AV350" s="404" t="e">
        <v>#DIV/0!</v>
      </c>
      <c r="AW350" s="404" t="e">
        <v>#DIV/0!</v>
      </c>
      <c r="AX350" s="404" t="e">
        <v>#DIV/0!</v>
      </c>
      <c r="AY350" s="404" t="e">
        <v>#DIV/0!</v>
      </c>
      <c r="AZ350" s="404">
        <v>2.68</v>
      </c>
      <c r="BA350" s="404" t="e">
        <v>#DIV/0!</v>
      </c>
      <c r="BB350" s="404" t="e">
        <v>#DIV/0!</v>
      </c>
      <c r="BC350" s="404" t="e">
        <v>#DIV/0!</v>
      </c>
      <c r="BD350" s="404" t="e">
        <v>#DIV/0!</v>
      </c>
      <c r="BE350" s="404" t="e">
        <v>#DIV/0!</v>
      </c>
      <c r="BF350" s="404">
        <v>25.85</v>
      </c>
      <c r="BG350" s="404" t="e">
        <v>#DIV/0!</v>
      </c>
      <c r="BH350" s="404" t="e">
        <v>#DIV/0!</v>
      </c>
      <c r="BI350" s="404">
        <v>8.11</v>
      </c>
      <c r="BJ350" s="404" t="e">
        <v>#DIV/0!</v>
      </c>
      <c r="BK350" s="404" t="e">
        <v>#DIV/0!</v>
      </c>
      <c r="BL350" s="404" t="e">
        <v>#DIV/0!</v>
      </c>
      <c r="BM350" s="404">
        <v>2.91</v>
      </c>
      <c r="BN350" s="404" t="e">
        <v>#DIV/0!</v>
      </c>
      <c r="BO350" s="404" t="e">
        <v>#DIV/0!</v>
      </c>
      <c r="BP350" s="404" t="e">
        <v>#DIV/0!</v>
      </c>
      <c r="BQ350" s="404" t="e">
        <v>#DIV/0!</v>
      </c>
      <c r="BR350" s="404" t="e">
        <v>#DIV/0!</v>
      </c>
      <c r="BS350" s="404" t="e">
        <v>#DIV/0!</v>
      </c>
      <c r="BT350" s="404" t="e">
        <v>#DIV/0!</v>
      </c>
      <c r="BU350" s="404" t="e">
        <v>#DIV/0!</v>
      </c>
      <c r="BV350" s="404" t="e">
        <v>#DIV/0!</v>
      </c>
      <c r="BW350" s="404" t="e">
        <v>#DIV/0!</v>
      </c>
      <c r="BX350" s="404" t="e">
        <v>#DIV/0!</v>
      </c>
      <c r="BY350" s="404" t="e">
        <v>#DIV/0!</v>
      </c>
      <c r="BZ350" s="404" t="e">
        <v>#DIV/0!</v>
      </c>
      <c r="CA350" s="404" t="e">
        <v>#DIV/0!</v>
      </c>
      <c r="CB350" s="404" t="e">
        <v>#DIV/0!</v>
      </c>
      <c r="CC350" s="404" t="e">
        <v>#DIV/0!</v>
      </c>
      <c r="CD350" s="404">
        <v>5.22</v>
      </c>
      <c r="CE350" s="404" t="e">
        <v>#DIV/0!</v>
      </c>
      <c r="CF350" s="404">
        <v>6.11</v>
      </c>
      <c r="CG350" s="404" t="e">
        <v>#DIV/0!</v>
      </c>
      <c r="CH350" s="404" t="e">
        <v>#DIV/0!</v>
      </c>
      <c r="CI350" s="404" t="e">
        <v>#DIV/0!</v>
      </c>
      <c r="CJ350" s="404">
        <v>15.17</v>
      </c>
      <c r="CK350" s="404" t="e">
        <v>#DIV/0!</v>
      </c>
      <c r="CL350" s="404" t="e">
        <v>#DIV/0!</v>
      </c>
      <c r="CM350" s="404" t="e">
        <v>#DIV/0!</v>
      </c>
      <c r="CN350" s="404" t="e">
        <v>#DIV/0!</v>
      </c>
      <c r="CO350" s="404" t="e">
        <v>#DIV/0!</v>
      </c>
      <c r="CP350" s="404" t="e">
        <v>#DIV/0!</v>
      </c>
      <c r="CQ350" s="404" t="e">
        <v>#DIV/0!</v>
      </c>
      <c r="CR350" s="404" t="e">
        <v>#DIV/0!</v>
      </c>
    </row>
    <row r="351" spans="1:96" s="404" customFormat="1" x14ac:dyDescent="0.3">
      <c r="A351" s="404" t="s">
        <v>1101</v>
      </c>
      <c r="B351" s="405"/>
      <c r="D351" s="404" t="s">
        <v>1266</v>
      </c>
      <c r="F351" s="404" t="s">
        <v>1797</v>
      </c>
      <c r="G351" s="404" t="s">
        <v>1797</v>
      </c>
      <c r="H351" s="404" t="s">
        <v>1797</v>
      </c>
      <c r="I351" s="404" t="s">
        <v>1797</v>
      </c>
      <c r="J351" s="404">
        <v>665033</v>
      </c>
      <c r="K351" s="404" t="s">
        <v>1797</v>
      </c>
      <c r="L351" s="404">
        <v>5778757</v>
      </c>
      <c r="M351" s="404" t="s">
        <v>1797</v>
      </c>
      <c r="N351" s="404" t="s">
        <v>1797</v>
      </c>
      <c r="O351" s="404" t="s">
        <v>1797</v>
      </c>
      <c r="P351" s="404" t="s">
        <v>1797</v>
      </c>
      <c r="Q351" s="404" t="s">
        <v>1797</v>
      </c>
      <c r="R351" s="404" t="s">
        <v>1797</v>
      </c>
      <c r="S351" s="404" t="s">
        <v>1797</v>
      </c>
      <c r="T351" s="404" t="s">
        <v>1797</v>
      </c>
      <c r="U351" s="404" t="s">
        <v>1797</v>
      </c>
      <c r="V351" s="404" t="s">
        <v>1797</v>
      </c>
      <c r="W351" s="404" t="s">
        <v>1797</v>
      </c>
      <c r="X351" s="404" t="s">
        <v>1797</v>
      </c>
      <c r="Y351" s="404" t="s">
        <v>1797</v>
      </c>
      <c r="Z351" s="404" t="s">
        <v>1797</v>
      </c>
      <c r="AA351" s="404" t="s">
        <v>1797</v>
      </c>
      <c r="AB351" s="404">
        <v>2093645</v>
      </c>
      <c r="AC351" s="404" t="s">
        <v>1797</v>
      </c>
      <c r="AD351" s="404" t="s">
        <v>1797</v>
      </c>
      <c r="AE351" s="404" t="s">
        <v>1797</v>
      </c>
      <c r="AF351" s="404" t="s">
        <v>1797</v>
      </c>
      <c r="AG351" s="404" t="s">
        <v>1797</v>
      </c>
      <c r="AH351" s="404" t="s">
        <v>1797</v>
      </c>
      <c r="AI351" s="404" t="s">
        <v>1797</v>
      </c>
      <c r="AJ351" s="404" t="s">
        <v>1797</v>
      </c>
      <c r="AK351" s="404" t="s">
        <v>1797</v>
      </c>
      <c r="AL351" s="404" t="s">
        <v>1797</v>
      </c>
      <c r="AM351" s="404" t="s">
        <v>1797</v>
      </c>
      <c r="AN351" s="404" t="s">
        <v>1797</v>
      </c>
      <c r="AO351" s="404" t="s">
        <v>1797</v>
      </c>
      <c r="AP351" s="404" t="s">
        <v>1797</v>
      </c>
      <c r="AQ351" s="404" t="s">
        <v>1797</v>
      </c>
      <c r="AR351" s="404" t="s">
        <v>1797</v>
      </c>
      <c r="AS351" s="404" t="s">
        <v>1797</v>
      </c>
      <c r="AT351" s="404" t="s">
        <v>1797</v>
      </c>
      <c r="AU351" s="404" t="s">
        <v>1797</v>
      </c>
      <c r="AV351" s="404" t="s">
        <v>1797</v>
      </c>
      <c r="AW351" s="404" t="s">
        <v>1797</v>
      </c>
      <c r="AX351" s="404" t="s">
        <v>1797</v>
      </c>
      <c r="AY351" s="404" t="s">
        <v>1797</v>
      </c>
      <c r="AZ351" s="404">
        <v>905330</v>
      </c>
      <c r="BA351" s="404" t="s">
        <v>1797</v>
      </c>
      <c r="BB351" s="404" t="s">
        <v>1798</v>
      </c>
      <c r="BC351" s="404" t="s">
        <v>1797</v>
      </c>
      <c r="BD351" s="404" t="s">
        <v>1797</v>
      </c>
      <c r="BE351" s="404" t="s">
        <v>1797</v>
      </c>
      <c r="BF351" s="404">
        <v>65253</v>
      </c>
      <c r="BG351" s="404" t="s">
        <v>1797</v>
      </c>
      <c r="BH351" s="404" t="s">
        <v>1797</v>
      </c>
      <c r="BI351" s="404">
        <v>3764181</v>
      </c>
      <c r="BJ351" s="404" t="s">
        <v>1797</v>
      </c>
      <c r="BK351" s="404" t="s">
        <v>1797</v>
      </c>
      <c r="BL351" s="404" t="s">
        <v>1797</v>
      </c>
      <c r="BM351" s="404">
        <v>1932948</v>
      </c>
      <c r="BN351" s="404" t="s">
        <v>1797</v>
      </c>
      <c r="BO351" s="404" t="s">
        <v>1797</v>
      </c>
      <c r="BP351" s="404" t="s">
        <v>1797</v>
      </c>
      <c r="BQ351" s="404" t="s">
        <v>1797</v>
      </c>
      <c r="BR351" s="404" t="s">
        <v>1797</v>
      </c>
      <c r="BS351" s="404" t="s">
        <v>1797</v>
      </c>
      <c r="BT351" s="404" t="s">
        <v>1797</v>
      </c>
      <c r="BU351" s="404" t="s">
        <v>1797</v>
      </c>
      <c r="BV351" s="404" t="s">
        <v>1797</v>
      </c>
      <c r="BW351" s="404" t="s">
        <v>1797</v>
      </c>
      <c r="BX351" s="404" t="s">
        <v>1797</v>
      </c>
      <c r="BY351" s="404" t="s">
        <v>1797</v>
      </c>
      <c r="BZ351" s="404" t="s">
        <v>1797</v>
      </c>
      <c r="CA351" s="404" t="s">
        <v>1797</v>
      </c>
      <c r="CB351" s="404" t="s">
        <v>1797</v>
      </c>
      <c r="CC351" s="404" t="s">
        <v>1797</v>
      </c>
      <c r="CD351" s="404">
        <v>12754329</v>
      </c>
      <c r="CE351" s="404" t="s">
        <v>1797</v>
      </c>
      <c r="CF351" s="404">
        <v>1073407</v>
      </c>
      <c r="CG351" s="404" t="s">
        <v>1797</v>
      </c>
      <c r="CH351" s="404" t="s">
        <v>1797</v>
      </c>
      <c r="CI351" s="404" t="s">
        <v>1797</v>
      </c>
      <c r="CJ351" s="404">
        <v>1201063</v>
      </c>
      <c r="CK351" s="404" t="s">
        <v>1797</v>
      </c>
      <c r="CL351" s="404" t="s">
        <v>1797</v>
      </c>
      <c r="CM351" s="404">
        <v>-22658</v>
      </c>
      <c r="CN351" s="404" t="s">
        <v>1797</v>
      </c>
      <c r="CO351" s="404" t="s">
        <v>1797</v>
      </c>
      <c r="CP351" s="404" t="s">
        <v>1797</v>
      </c>
      <c r="CQ351" s="404" t="s">
        <v>1797</v>
      </c>
      <c r="CR351" s="404" t="s">
        <v>1797</v>
      </c>
    </row>
    <row r="352" spans="1:96" s="404" customFormat="1" x14ac:dyDescent="0.3">
      <c r="A352" s="404" t="s">
        <v>1102</v>
      </c>
      <c r="B352" s="405"/>
      <c r="D352" s="404" t="s">
        <v>1104</v>
      </c>
      <c r="F352" s="404" t="e">
        <v>#DIV/0!</v>
      </c>
      <c r="G352" s="404" t="e">
        <v>#DIV/0!</v>
      </c>
      <c r="H352" s="404" t="e">
        <v>#DIV/0!</v>
      </c>
      <c r="I352" s="404" t="e">
        <v>#DIV/0!</v>
      </c>
      <c r="J352" s="404">
        <v>2.19</v>
      </c>
      <c r="K352" s="404" t="e">
        <v>#DIV/0!</v>
      </c>
      <c r="L352" s="404">
        <v>0.78</v>
      </c>
      <c r="M352" s="404" t="e">
        <v>#DIV/0!</v>
      </c>
      <c r="N352" s="404" t="e">
        <v>#DIV/0!</v>
      </c>
      <c r="O352" s="404" t="e">
        <v>#DIV/0!</v>
      </c>
      <c r="P352" s="404" t="e">
        <v>#DIV/0!</v>
      </c>
      <c r="Q352" s="404" t="e">
        <v>#DIV/0!</v>
      </c>
      <c r="R352" s="404" t="e">
        <v>#DIV/0!</v>
      </c>
      <c r="S352" s="404" t="e">
        <v>#DIV/0!</v>
      </c>
      <c r="T352" s="404" t="e">
        <v>#DIV/0!</v>
      </c>
      <c r="U352" s="404" t="e">
        <v>#DIV/0!</v>
      </c>
      <c r="V352" s="404" t="e">
        <v>#DIV/0!</v>
      </c>
      <c r="W352" s="404" t="e">
        <v>#DIV/0!</v>
      </c>
      <c r="X352" s="404" t="e">
        <v>#DIV/0!</v>
      </c>
      <c r="Y352" s="404" t="e">
        <v>#DIV/0!</v>
      </c>
      <c r="Z352" s="404" t="e">
        <v>#DIV/0!</v>
      </c>
      <c r="AA352" s="404" t="e">
        <v>#DIV/0!</v>
      </c>
      <c r="AB352" s="404">
        <v>0.59</v>
      </c>
      <c r="AC352" s="404" t="e">
        <v>#DIV/0!</v>
      </c>
      <c r="AD352" s="404" t="e">
        <v>#DIV/0!</v>
      </c>
      <c r="AE352" s="404" t="e">
        <v>#DIV/0!</v>
      </c>
      <c r="AF352" s="404" t="e">
        <v>#DIV/0!</v>
      </c>
      <c r="AG352" s="404" t="e">
        <v>#DIV/0!</v>
      </c>
      <c r="AH352" s="404" t="e">
        <v>#DIV/0!</v>
      </c>
      <c r="AI352" s="404" t="e">
        <v>#DIV/0!</v>
      </c>
      <c r="AJ352" s="404" t="e">
        <v>#DIV/0!</v>
      </c>
      <c r="AK352" s="404" t="e">
        <v>#DIV/0!</v>
      </c>
      <c r="AL352" s="404" t="e">
        <v>#DIV/0!</v>
      </c>
      <c r="AM352" s="404" t="e">
        <v>#DIV/0!</v>
      </c>
      <c r="AN352" s="404" t="e">
        <v>#DIV/0!</v>
      </c>
      <c r="AO352" s="404" t="e">
        <v>#DIV/0!</v>
      </c>
      <c r="AP352" s="404" t="e">
        <v>#DIV/0!</v>
      </c>
      <c r="AQ352" s="404" t="e">
        <v>#DIV/0!</v>
      </c>
      <c r="AR352" s="404" t="e">
        <v>#DIV/0!</v>
      </c>
      <c r="AS352" s="404" t="e">
        <v>#DIV/0!</v>
      </c>
      <c r="AT352" s="404" t="e">
        <v>#DIV/0!</v>
      </c>
      <c r="AU352" s="404" t="e">
        <v>#DIV/0!</v>
      </c>
      <c r="AV352" s="404" t="e">
        <v>#DIV/0!</v>
      </c>
      <c r="AW352" s="404" t="e">
        <v>#DIV/0!</v>
      </c>
      <c r="AX352" s="404" t="e">
        <v>#DIV/0!</v>
      </c>
      <c r="AY352" s="404" t="e">
        <v>#DIV/0!</v>
      </c>
      <c r="AZ352" s="404">
        <v>0.04</v>
      </c>
      <c r="BA352" s="404" t="e">
        <v>#DIV/0!</v>
      </c>
      <c r="BB352" s="404" t="e">
        <v>#DIV/0!</v>
      </c>
      <c r="BC352" s="404" t="e">
        <v>#DIV/0!</v>
      </c>
      <c r="BD352" s="404" t="e">
        <v>#DIV/0!</v>
      </c>
      <c r="BE352" s="404" t="e">
        <v>#DIV/0!</v>
      </c>
      <c r="BF352" s="404">
        <v>1.68</v>
      </c>
      <c r="BG352" s="404" t="e">
        <v>#DIV/0!</v>
      </c>
      <c r="BH352" s="404" t="e">
        <v>#DIV/0!</v>
      </c>
      <c r="BI352" s="404">
        <v>0.52</v>
      </c>
      <c r="BJ352" s="404" t="e">
        <v>#DIV/0!</v>
      </c>
      <c r="BK352" s="404" t="e">
        <v>#DIV/0!</v>
      </c>
      <c r="BL352" s="404" t="e">
        <v>#DIV/0!</v>
      </c>
      <c r="BM352" s="404">
        <v>0.3</v>
      </c>
      <c r="BN352" s="404" t="e">
        <v>#DIV/0!</v>
      </c>
      <c r="BO352" s="404" t="e">
        <v>#DIV/0!</v>
      </c>
      <c r="BP352" s="404" t="e">
        <v>#DIV/0!</v>
      </c>
      <c r="BQ352" s="404" t="e">
        <v>#DIV/0!</v>
      </c>
      <c r="BR352" s="404" t="e">
        <v>#DIV/0!</v>
      </c>
      <c r="BS352" s="404" t="e">
        <v>#DIV/0!</v>
      </c>
      <c r="BT352" s="404" t="e">
        <v>#DIV/0!</v>
      </c>
      <c r="BU352" s="404" t="e">
        <v>#DIV/0!</v>
      </c>
      <c r="BV352" s="404" t="e">
        <v>#DIV/0!</v>
      </c>
      <c r="BW352" s="404" t="e">
        <v>#DIV/0!</v>
      </c>
      <c r="BX352" s="404" t="e">
        <v>#DIV/0!</v>
      </c>
      <c r="BY352" s="404" t="e">
        <v>#DIV/0!</v>
      </c>
      <c r="BZ352" s="404" t="e">
        <v>#DIV/0!</v>
      </c>
      <c r="CA352" s="404" t="e">
        <v>#DIV/0!</v>
      </c>
      <c r="CB352" s="404" t="e">
        <v>#DIV/0!</v>
      </c>
      <c r="CC352" s="404" t="e">
        <v>#DIV/0!</v>
      </c>
      <c r="CD352" s="404">
        <v>0.32</v>
      </c>
      <c r="CE352" s="404" t="e">
        <v>#DIV/0!</v>
      </c>
      <c r="CF352" s="404">
        <v>0.75</v>
      </c>
      <c r="CG352" s="404" t="e">
        <v>#DIV/0!</v>
      </c>
      <c r="CH352" s="404" t="e">
        <v>#DIV/0!</v>
      </c>
      <c r="CI352" s="404" t="e">
        <v>#DIV/0!</v>
      </c>
      <c r="CJ352" s="404">
        <v>0.63</v>
      </c>
      <c r="CK352" s="404" t="e">
        <v>#DIV/0!</v>
      </c>
      <c r="CL352" s="404" t="e">
        <v>#DIV/0!</v>
      </c>
      <c r="CM352" s="404">
        <v>0</v>
      </c>
      <c r="CN352" s="404" t="e">
        <v>#DIV/0!</v>
      </c>
      <c r="CO352" s="404" t="e">
        <v>#DIV/0!</v>
      </c>
      <c r="CP352" s="404" t="e">
        <v>#DIV/0!</v>
      </c>
      <c r="CQ352" s="404" t="e">
        <v>#DIV/0!</v>
      </c>
      <c r="CR352" s="404" t="e">
        <v>#DIV/0!</v>
      </c>
    </row>
    <row r="353" spans="1:96" s="404" customFormat="1" x14ac:dyDescent="0.3">
      <c r="A353" s="404" t="s">
        <v>1690</v>
      </c>
      <c r="B353" s="405"/>
      <c r="D353" s="404" t="s">
        <v>1119</v>
      </c>
      <c r="F353" s="404">
        <v>0</v>
      </c>
      <c r="G353" s="404">
        <v>0</v>
      </c>
      <c r="H353" s="404">
        <v>0</v>
      </c>
      <c r="I353" s="404">
        <v>0</v>
      </c>
      <c r="J353" s="404">
        <v>2752625</v>
      </c>
      <c r="K353" s="404">
        <v>0</v>
      </c>
      <c r="L353" s="404">
        <v>54041303</v>
      </c>
      <c r="M353" s="404">
        <v>0</v>
      </c>
      <c r="N353" s="404">
        <v>0</v>
      </c>
      <c r="O353" s="404">
        <v>0</v>
      </c>
      <c r="P353" s="404">
        <v>0</v>
      </c>
      <c r="Q353" s="404">
        <v>0</v>
      </c>
      <c r="R353" s="404">
        <v>0</v>
      </c>
      <c r="S353" s="404">
        <v>0</v>
      </c>
      <c r="T353" s="404">
        <v>0</v>
      </c>
      <c r="U353" s="404">
        <v>0</v>
      </c>
      <c r="V353" s="404">
        <v>0</v>
      </c>
      <c r="W353" s="404">
        <v>0</v>
      </c>
      <c r="X353" s="404">
        <v>0</v>
      </c>
      <c r="Y353" s="404">
        <v>0</v>
      </c>
      <c r="Z353" s="404">
        <v>0</v>
      </c>
      <c r="AA353" s="404">
        <v>0</v>
      </c>
      <c r="AB353" s="404">
        <v>58085807</v>
      </c>
      <c r="AC353" s="404">
        <v>0</v>
      </c>
      <c r="AD353" s="404">
        <v>0</v>
      </c>
      <c r="AE353" s="404">
        <v>0</v>
      </c>
      <c r="AF353" s="404">
        <v>0</v>
      </c>
      <c r="AG353" s="404">
        <v>0</v>
      </c>
      <c r="AH353" s="404">
        <v>0</v>
      </c>
      <c r="AI353" s="404">
        <v>0</v>
      </c>
      <c r="AJ353" s="404">
        <v>0</v>
      </c>
      <c r="AK353" s="404">
        <v>0</v>
      </c>
      <c r="AL353" s="404">
        <v>0</v>
      </c>
      <c r="AM353" s="404">
        <v>0</v>
      </c>
      <c r="AN353" s="404">
        <v>0</v>
      </c>
      <c r="AO353" s="404">
        <v>0</v>
      </c>
      <c r="AP353" s="404">
        <v>0</v>
      </c>
      <c r="AQ353" s="404">
        <v>0</v>
      </c>
      <c r="AR353" s="404">
        <v>0</v>
      </c>
      <c r="AS353" s="404">
        <v>0</v>
      </c>
      <c r="AT353" s="404">
        <v>0</v>
      </c>
      <c r="AU353" s="404">
        <v>0</v>
      </c>
      <c r="AV353" s="404">
        <v>0</v>
      </c>
      <c r="AW353" s="404">
        <v>0</v>
      </c>
      <c r="AX353" s="404">
        <v>0</v>
      </c>
      <c r="AY353" s="404">
        <v>0</v>
      </c>
      <c r="AZ353" s="404">
        <v>40563510</v>
      </c>
      <c r="BA353" s="404">
        <v>0</v>
      </c>
      <c r="BB353" s="404">
        <v>0</v>
      </c>
      <c r="BC353" s="404">
        <v>0</v>
      </c>
      <c r="BD353" s="404">
        <v>0</v>
      </c>
      <c r="BE353" s="404">
        <v>0</v>
      </c>
      <c r="BF353" s="404">
        <v>415728</v>
      </c>
      <c r="BG353" s="404">
        <v>0</v>
      </c>
      <c r="BH353" s="404">
        <v>0</v>
      </c>
      <c r="BI353" s="404">
        <v>77407034</v>
      </c>
      <c r="BJ353" s="404">
        <v>0</v>
      </c>
      <c r="BK353" s="404">
        <v>0</v>
      </c>
      <c r="BL353" s="404">
        <v>0</v>
      </c>
      <c r="BM353" s="404">
        <v>8895486</v>
      </c>
      <c r="BN353" s="404">
        <v>0</v>
      </c>
      <c r="BO353" s="404">
        <v>0</v>
      </c>
      <c r="BP353" s="404">
        <v>0</v>
      </c>
      <c r="BQ353" s="404">
        <v>0</v>
      </c>
      <c r="BR353" s="404">
        <v>0</v>
      </c>
      <c r="BS353" s="404">
        <v>0</v>
      </c>
      <c r="BT353" s="404">
        <v>0</v>
      </c>
      <c r="BU353" s="404">
        <v>0</v>
      </c>
      <c r="BV353" s="404">
        <v>0</v>
      </c>
      <c r="BW353" s="404">
        <v>0</v>
      </c>
      <c r="BX353" s="404">
        <v>0</v>
      </c>
      <c r="BY353" s="404">
        <v>0</v>
      </c>
      <c r="BZ353" s="404">
        <v>0</v>
      </c>
      <c r="CA353" s="404">
        <v>0</v>
      </c>
      <c r="CB353" s="404">
        <v>0</v>
      </c>
      <c r="CC353" s="404">
        <v>0</v>
      </c>
      <c r="CD353" s="404">
        <v>186534369</v>
      </c>
      <c r="CE353" s="404">
        <v>0</v>
      </c>
      <c r="CF353" s="404">
        <v>7557724</v>
      </c>
      <c r="CG353" s="404">
        <v>0</v>
      </c>
      <c r="CH353" s="404">
        <v>0</v>
      </c>
      <c r="CI353" s="404">
        <v>0</v>
      </c>
      <c r="CJ353" s="404">
        <v>11087113</v>
      </c>
      <c r="CK353" s="404">
        <v>0</v>
      </c>
      <c r="CL353" s="404">
        <v>0</v>
      </c>
      <c r="CM353" s="404">
        <v>0</v>
      </c>
      <c r="CN353" s="404">
        <v>0</v>
      </c>
      <c r="CO353" s="404">
        <v>0</v>
      </c>
      <c r="CP353" s="404">
        <v>0</v>
      </c>
      <c r="CQ353" s="404">
        <v>0</v>
      </c>
      <c r="CR353" s="404">
        <v>0</v>
      </c>
    </row>
    <row r="354" spans="1:96" s="404" customFormat="1" x14ac:dyDescent="0.3">
      <c r="A354" s="404" t="s">
        <v>1118</v>
      </c>
      <c r="B354" s="405"/>
    </row>
    <row r="355" spans="1:96" s="404" customFormat="1" x14ac:dyDescent="0.3">
      <c r="A355" s="404" t="s">
        <v>1691</v>
      </c>
      <c r="B355" s="405"/>
    </row>
    <row r="356" spans="1:96" s="404" customFormat="1" x14ac:dyDescent="0.3">
      <c r="A356" s="404" t="s">
        <v>1691</v>
      </c>
      <c r="B356" s="405"/>
    </row>
    <row r="361" spans="1:96" x14ac:dyDescent="0.3">
      <c r="D361" s="99" t="s">
        <v>1261</v>
      </c>
      <c r="F361" s="1129">
        <v>6141833.8600000003</v>
      </c>
      <c r="G361" s="1129">
        <v>232588223.91999999</v>
      </c>
      <c r="H361" s="1129">
        <v>40616594.18</v>
      </c>
      <c r="I361" s="1129">
        <v>159620251.59</v>
      </c>
      <c r="J361" s="1129">
        <v>113814902.45999999</v>
      </c>
      <c r="K361" s="1129">
        <v>30294561.300000001</v>
      </c>
      <c r="L361" s="1129">
        <v>1938519680.0899999</v>
      </c>
      <c r="M361" s="1129">
        <v>41696610.869999997</v>
      </c>
      <c r="N361" s="1129">
        <v>7379333.3499999996</v>
      </c>
      <c r="O361" s="1129">
        <v>55877609.009999998</v>
      </c>
      <c r="P361" s="1129">
        <v>61360052.829999998</v>
      </c>
      <c r="Q361" s="1129">
        <v>2541791.5499999998</v>
      </c>
      <c r="R361" s="1129">
        <v>25683040.780000001</v>
      </c>
      <c r="S361" s="1129">
        <v>35308644.939999998</v>
      </c>
      <c r="T361" s="1129">
        <v>81784296.469999999</v>
      </c>
      <c r="U361" s="1129">
        <v>175186130.75</v>
      </c>
      <c r="V361" s="1129">
        <v>464964994.30000001</v>
      </c>
      <c r="W361" s="1129">
        <v>81337303.120000005</v>
      </c>
      <c r="X361" s="1129">
        <v>64961687.009999998</v>
      </c>
      <c r="Y361" s="1129">
        <v>124910530.78</v>
      </c>
      <c r="Z361" s="1129">
        <v>134314515.41</v>
      </c>
      <c r="AA361" s="1129">
        <v>1065304.3700000001</v>
      </c>
      <c r="AB361" s="1129">
        <v>768088928.5</v>
      </c>
      <c r="AC361" s="1129">
        <v>122687833.23999999</v>
      </c>
      <c r="AD361" s="1129">
        <v>23747529.829999998</v>
      </c>
      <c r="AE361" s="1129">
        <v>22934192.550000001</v>
      </c>
      <c r="AF361" s="1129">
        <v>871670142.69000006</v>
      </c>
      <c r="AG361" s="1129">
        <v>25804115.219999999</v>
      </c>
      <c r="AH361" s="1129">
        <v>179136554.65000001</v>
      </c>
      <c r="AI361" s="1129">
        <v>46053154.68</v>
      </c>
      <c r="AJ361" s="1129">
        <v>34567920.920000002</v>
      </c>
      <c r="AK361" s="1129">
        <v>210417757.68000001</v>
      </c>
      <c r="AL361" s="1129">
        <v>168016294.49000001</v>
      </c>
      <c r="AM361" s="1129">
        <v>121685088.66</v>
      </c>
      <c r="AN361" s="1129">
        <v>94157535.590000004</v>
      </c>
      <c r="AO361" s="1129">
        <v>4322439.82</v>
      </c>
      <c r="AP361" s="1129">
        <v>25205200.510000002</v>
      </c>
      <c r="AQ361" s="1129">
        <v>261285126.59</v>
      </c>
      <c r="AR361" s="1129">
        <v>0.01</v>
      </c>
      <c r="AS361" s="1129">
        <v>7320734.6399999997</v>
      </c>
      <c r="AT361" s="1129">
        <v>15870626.35</v>
      </c>
      <c r="AU361" s="1129">
        <v>13311600.66</v>
      </c>
      <c r="AV361" s="1129">
        <v>2485642.83</v>
      </c>
      <c r="AW361" s="1129">
        <v>12133422.550000001</v>
      </c>
      <c r="AX361" s="1129">
        <v>180990111.28999999</v>
      </c>
      <c r="AY361" s="1129">
        <v>34366831.009999998</v>
      </c>
      <c r="AZ361" s="1129">
        <v>1662988835.99</v>
      </c>
      <c r="BA361" s="1129">
        <v>60760285.909999996</v>
      </c>
      <c r="BB361" s="1129">
        <v>221305225.80000001</v>
      </c>
      <c r="BC361" s="1129">
        <v>39751516.219999999</v>
      </c>
      <c r="BD361" s="1129">
        <v>55461232.159999996</v>
      </c>
      <c r="BE361" s="1129">
        <v>56256941.799999997</v>
      </c>
      <c r="BF361" s="1129">
        <v>17073742.170000002</v>
      </c>
      <c r="BG361" s="1129">
        <v>80568379.219999999</v>
      </c>
      <c r="BH361" s="1129">
        <v>144022256.56</v>
      </c>
      <c r="BI361" s="1129">
        <v>1047390065.5</v>
      </c>
      <c r="BJ361" s="1129">
        <v>5618099.5199999996</v>
      </c>
      <c r="BK361" s="1129">
        <v>2621292.29</v>
      </c>
      <c r="BL361" s="1129">
        <v>394260055.5</v>
      </c>
      <c r="BM361" s="1129">
        <v>603876435.70000005</v>
      </c>
      <c r="BN361" s="1129">
        <v>254533354.99000001</v>
      </c>
      <c r="BO361" s="1129">
        <v>2313683.4300000002</v>
      </c>
      <c r="BP361" s="1129">
        <v>43334508.57</v>
      </c>
      <c r="BQ361" s="1129">
        <v>95668120.829999998</v>
      </c>
      <c r="BR361" s="1129">
        <v>156574120.03</v>
      </c>
      <c r="BS361" s="1129">
        <v>28793978</v>
      </c>
      <c r="BT361" s="1129">
        <v>26220233.449999999</v>
      </c>
      <c r="BU361" s="1129">
        <v>111059415.14</v>
      </c>
      <c r="BV361" s="1129">
        <v>76041366.269999996</v>
      </c>
      <c r="BW361" s="99">
        <v>0.01</v>
      </c>
      <c r="BX361" s="1129">
        <v>74856046.819999993</v>
      </c>
      <c r="BY361" s="1129">
        <v>227834285.22</v>
      </c>
      <c r="BZ361" s="1129">
        <v>8975886.0399999991</v>
      </c>
      <c r="CA361" s="99">
        <v>0.01</v>
      </c>
      <c r="CB361" s="1129">
        <v>323577350.49000001</v>
      </c>
      <c r="CC361" s="1129">
        <v>3916787468.4699998</v>
      </c>
      <c r="CD361" s="1129">
        <v>3439499996.3600001</v>
      </c>
      <c r="CE361" s="1129">
        <v>59362340.259999998</v>
      </c>
      <c r="CF361" s="1129">
        <v>201821320.58000001</v>
      </c>
      <c r="CG361" s="1129">
        <v>32034525.719999999</v>
      </c>
      <c r="CH361" s="1129">
        <v>96953333.780000001</v>
      </c>
      <c r="CI361" s="1129">
        <v>11420603381.43</v>
      </c>
      <c r="CJ361" s="1129">
        <v>470318065.80000001</v>
      </c>
      <c r="CK361" s="1129">
        <v>46893448.969999999</v>
      </c>
      <c r="CL361" s="1129">
        <v>61181001.039999999</v>
      </c>
      <c r="CM361" s="1129">
        <v>31021462.210000001</v>
      </c>
      <c r="CN361" s="1129">
        <v>351819785.13</v>
      </c>
      <c r="CO361" s="1129">
        <v>162140541.63</v>
      </c>
      <c r="CP361" s="1129">
        <v>117304639.69</v>
      </c>
      <c r="CQ361" s="1129">
        <v>46916222.93</v>
      </c>
      <c r="CR361" s="1129">
        <v>295752359.08999997</v>
      </c>
    </row>
    <row r="362" spans="1:96" x14ac:dyDescent="0.3">
      <c r="D362" s="99" t="s">
        <v>1262</v>
      </c>
      <c r="F362" s="1129">
        <v>6141833.8600000003</v>
      </c>
      <c r="G362" s="1129">
        <v>232588223.91999999</v>
      </c>
      <c r="H362" s="1129">
        <v>40616594.18</v>
      </c>
      <c r="I362" s="1129">
        <v>159620251.59</v>
      </c>
      <c r="J362" s="1129">
        <v>113814902.45999999</v>
      </c>
      <c r="K362" s="1129">
        <v>30294561.300000001</v>
      </c>
      <c r="L362" s="1129">
        <v>1938519680.0899999</v>
      </c>
      <c r="M362" s="1129">
        <v>41696610.869999997</v>
      </c>
      <c r="N362" s="1129">
        <v>7379333.3499999996</v>
      </c>
      <c r="O362" s="1129">
        <v>55877609.009999998</v>
      </c>
      <c r="P362" s="1129">
        <v>61360052.829999998</v>
      </c>
      <c r="Q362" s="1129">
        <v>2541791.5499999998</v>
      </c>
      <c r="R362" s="1129">
        <v>25683040.780000001</v>
      </c>
      <c r="S362" s="1129">
        <v>35308644.939999998</v>
      </c>
      <c r="T362" s="1129">
        <v>81784296.469999999</v>
      </c>
      <c r="U362" s="1129">
        <v>175186130.75</v>
      </c>
      <c r="V362" s="1129">
        <v>464964994.30000001</v>
      </c>
      <c r="W362" s="1129">
        <v>81337303.120000005</v>
      </c>
      <c r="X362" s="1129">
        <v>64961687.009999998</v>
      </c>
      <c r="Y362" s="1129">
        <v>124910530.78</v>
      </c>
      <c r="Z362" s="1129">
        <v>134314515.41</v>
      </c>
      <c r="AA362" s="1129">
        <v>1065304.3700000001</v>
      </c>
      <c r="AB362" s="1129">
        <v>768088928.5</v>
      </c>
      <c r="AC362" s="1129">
        <v>122687833.23999999</v>
      </c>
      <c r="AD362" s="1129">
        <v>23747529.829999998</v>
      </c>
      <c r="AE362" s="1129">
        <v>22934192.550000001</v>
      </c>
      <c r="AF362" s="1129">
        <v>871670142.69000006</v>
      </c>
      <c r="AG362" s="1129">
        <v>25804115.219999999</v>
      </c>
      <c r="AH362" s="1129">
        <v>179136554.65000001</v>
      </c>
      <c r="AI362" s="1129">
        <v>46053154.68</v>
      </c>
      <c r="AJ362" s="1129">
        <v>34567920.920000002</v>
      </c>
      <c r="AK362" s="1129">
        <v>210417757.68000001</v>
      </c>
      <c r="AL362" s="1129">
        <v>168016294.49000001</v>
      </c>
      <c r="AM362" s="1129">
        <v>121685088.66</v>
      </c>
      <c r="AN362" s="1129">
        <v>94157535.590000004</v>
      </c>
      <c r="AO362" s="1129">
        <v>4322439.82</v>
      </c>
      <c r="AP362" s="1129">
        <v>25205200.510000002</v>
      </c>
      <c r="AQ362" s="1129">
        <v>261285126.59</v>
      </c>
      <c r="AR362" s="1129">
        <v>0.01</v>
      </c>
      <c r="AS362" s="1129">
        <v>7320734.6399999997</v>
      </c>
      <c r="AT362" s="1129">
        <v>15870626.35</v>
      </c>
      <c r="AU362" s="1129">
        <v>13311600.66</v>
      </c>
      <c r="AV362" s="1129">
        <v>2485642.83</v>
      </c>
      <c r="AW362" s="1129">
        <v>12133422.550000001</v>
      </c>
      <c r="AX362" s="1129">
        <v>180990111.28999999</v>
      </c>
      <c r="AY362" s="1129">
        <v>34366831.009999998</v>
      </c>
      <c r="AZ362" s="1129">
        <v>1662988835.99</v>
      </c>
      <c r="BA362" s="1129">
        <v>60760285.909999996</v>
      </c>
      <c r="BB362" s="1129">
        <v>221305225.80000001</v>
      </c>
      <c r="BC362" s="1129">
        <v>39751516.219999999</v>
      </c>
      <c r="BD362" s="1129">
        <v>55461232.159999996</v>
      </c>
      <c r="BE362" s="1129">
        <v>56256941.799999997</v>
      </c>
      <c r="BF362" s="1129">
        <v>17073742.170000002</v>
      </c>
      <c r="BG362" s="1129">
        <v>80568379.219999999</v>
      </c>
      <c r="BH362" s="1129">
        <v>144022256.56</v>
      </c>
      <c r="BI362" s="1129">
        <v>1047390065.5</v>
      </c>
      <c r="BJ362" s="1129">
        <v>5618099.5199999996</v>
      </c>
      <c r="BK362" s="1129">
        <v>2621292.29</v>
      </c>
      <c r="BL362" s="1129">
        <v>394260055.5</v>
      </c>
      <c r="BM362" s="1129">
        <v>603876435.70000005</v>
      </c>
      <c r="BN362" s="1129">
        <v>254533354.99000001</v>
      </c>
      <c r="BO362" s="1129">
        <v>2313683.4300000002</v>
      </c>
      <c r="BP362" s="1129">
        <v>43334508.57</v>
      </c>
      <c r="BQ362" s="1129">
        <v>95668120.829999998</v>
      </c>
      <c r="BR362" s="1129">
        <v>156574120.03</v>
      </c>
      <c r="BS362" s="1129">
        <v>28793978</v>
      </c>
      <c r="BT362" s="1129">
        <v>26220233.449999999</v>
      </c>
      <c r="BU362" s="1129">
        <v>111059415.14</v>
      </c>
      <c r="BV362" s="1129">
        <v>76041366.269999996</v>
      </c>
      <c r="BW362" s="99">
        <v>0.01</v>
      </c>
      <c r="BX362" s="1129">
        <v>74856046.819999993</v>
      </c>
      <c r="BY362" s="1129">
        <v>227834285.22</v>
      </c>
      <c r="BZ362" s="1129">
        <v>8975886.0399999991</v>
      </c>
      <c r="CA362" s="99">
        <v>0.01</v>
      </c>
      <c r="CB362" s="1129">
        <v>323577350.49000001</v>
      </c>
      <c r="CC362" s="1129">
        <v>3916787468.4699998</v>
      </c>
      <c r="CD362" s="1129">
        <v>3439499996.3600001</v>
      </c>
      <c r="CE362" s="1129">
        <v>59362340.259999998</v>
      </c>
      <c r="CF362" s="1129">
        <v>201821320.58000001</v>
      </c>
      <c r="CG362" s="1129">
        <v>32034525.719999999</v>
      </c>
      <c r="CH362" s="1129">
        <v>96953333.780000001</v>
      </c>
      <c r="CI362" s="1129">
        <v>11420603381.43</v>
      </c>
      <c r="CJ362" s="1129">
        <v>470318065.80000001</v>
      </c>
      <c r="CK362" s="1129">
        <v>46893448.969999999</v>
      </c>
      <c r="CL362" s="1129">
        <v>61181001.039999999</v>
      </c>
      <c r="CM362" s="1129">
        <v>31021462.210000001</v>
      </c>
      <c r="CN362" s="1129">
        <v>351819785.13</v>
      </c>
      <c r="CO362" s="1129">
        <v>162140541.63</v>
      </c>
      <c r="CP362" s="1129">
        <v>117304639.69</v>
      </c>
      <c r="CQ362" s="1129">
        <v>46916222.93</v>
      </c>
      <c r="CR362" s="1129">
        <v>295752359.08999997</v>
      </c>
    </row>
    <row r="363" spans="1:96" x14ac:dyDescent="0.3">
      <c r="E363" s="403"/>
      <c r="F363" s="403">
        <v>0</v>
      </c>
      <c r="G363" s="403">
        <v>0</v>
      </c>
      <c r="H363" s="403">
        <v>0</v>
      </c>
      <c r="I363" s="403">
        <v>0</v>
      </c>
      <c r="J363" s="403">
        <v>0</v>
      </c>
      <c r="K363" s="403">
        <v>0</v>
      </c>
      <c r="L363" s="403">
        <v>0</v>
      </c>
      <c r="M363" s="403">
        <v>0</v>
      </c>
      <c r="N363" s="403">
        <v>0</v>
      </c>
      <c r="O363" s="403">
        <v>0</v>
      </c>
      <c r="P363" s="403">
        <v>0</v>
      </c>
      <c r="Q363" s="403">
        <v>0</v>
      </c>
      <c r="R363" s="403">
        <v>0</v>
      </c>
      <c r="S363" s="403">
        <v>0</v>
      </c>
      <c r="T363" s="403">
        <v>0</v>
      </c>
      <c r="U363" s="403">
        <v>0</v>
      </c>
      <c r="V363" s="403">
        <v>0</v>
      </c>
      <c r="W363" s="403">
        <v>0</v>
      </c>
      <c r="X363" s="403">
        <v>0</v>
      </c>
      <c r="Y363" s="403">
        <v>0</v>
      </c>
      <c r="Z363" s="403">
        <v>0</v>
      </c>
      <c r="AA363" s="403">
        <v>0</v>
      </c>
      <c r="AB363" s="403">
        <v>0</v>
      </c>
      <c r="AC363" s="403">
        <v>0</v>
      </c>
      <c r="AD363" s="403">
        <v>0</v>
      </c>
      <c r="AE363" s="403">
        <v>0</v>
      </c>
      <c r="AF363" s="403">
        <v>0</v>
      </c>
      <c r="AG363" s="403">
        <v>0</v>
      </c>
      <c r="AH363" s="403">
        <v>0</v>
      </c>
      <c r="AI363" s="403">
        <v>0</v>
      </c>
      <c r="AJ363" s="403">
        <v>0</v>
      </c>
      <c r="AK363" s="403">
        <v>0</v>
      </c>
      <c r="AL363" s="403">
        <v>0</v>
      </c>
      <c r="AM363" s="403">
        <v>0</v>
      </c>
      <c r="AN363" s="403">
        <v>0</v>
      </c>
      <c r="AO363" s="403">
        <v>0</v>
      </c>
      <c r="AP363" s="403">
        <v>0</v>
      </c>
      <c r="AQ363" s="403">
        <v>0</v>
      </c>
      <c r="AR363" s="403">
        <v>0</v>
      </c>
      <c r="AS363" s="403">
        <v>0</v>
      </c>
      <c r="AT363" s="403">
        <v>0</v>
      </c>
      <c r="AU363" s="403">
        <v>0</v>
      </c>
      <c r="AV363" s="403">
        <v>0</v>
      </c>
      <c r="AW363" s="403">
        <v>0</v>
      </c>
      <c r="AX363" s="403">
        <v>0</v>
      </c>
      <c r="AY363" s="403">
        <v>0</v>
      </c>
      <c r="AZ363" s="403">
        <v>0</v>
      </c>
      <c r="BA363" s="403">
        <v>0</v>
      </c>
      <c r="BB363" s="403">
        <v>0</v>
      </c>
      <c r="BC363" s="403">
        <v>0</v>
      </c>
      <c r="BD363" s="403">
        <v>0</v>
      </c>
      <c r="BE363" s="403">
        <v>0</v>
      </c>
      <c r="BF363" s="403">
        <v>0</v>
      </c>
      <c r="BG363" s="403">
        <v>0</v>
      </c>
      <c r="BH363" s="403">
        <v>0</v>
      </c>
      <c r="BI363" s="403">
        <v>0</v>
      </c>
      <c r="BJ363" s="403">
        <v>0</v>
      </c>
      <c r="BK363" s="403">
        <v>0</v>
      </c>
      <c r="BL363" s="403">
        <v>0</v>
      </c>
      <c r="BM363" s="403">
        <v>0</v>
      </c>
      <c r="BN363" s="403">
        <v>0</v>
      </c>
      <c r="BO363" s="403">
        <v>0</v>
      </c>
      <c r="BP363" s="403">
        <v>0</v>
      </c>
      <c r="BQ363" s="403">
        <v>0</v>
      </c>
      <c r="BR363" s="403">
        <v>0</v>
      </c>
      <c r="BS363" s="403">
        <v>0</v>
      </c>
      <c r="BT363" s="403">
        <v>0</v>
      </c>
      <c r="BU363" s="99">
        <v>0</v>
      </c>
      <c r="BV363" s="99">
        <v>0</v>
      </c>
      <c r="BW363" s="99">
        <v>0</v>
      </c>
      <c r="BX363" s="99">
        <v>0</v>
      </c>
      <c r="BY363" s="99">
        <v>0</v>
      </c>
      <c r="BZ363" s="99">
        <v>0</v>
      </c>
      <c r="CA363" s="99">
        <v>0</v>
      </c>
      <c r="CB363" s="99">
        <v>0</v>
      </c>
      <c r="CC363" s="99">
        <v>0</v>
      </c>
      <c r="CD363" s="99">
        <v>0</v>
      </c>
      <c r="CE363" s="99">
        <v>0</v>
      </c>
      <c r="CF363" s="99">
        <v>0</v>
      </c>
      <c r="CG363" s="99">
        <v>0</v>
      </c>
      <c r="CH363" s="99">
        <v>0</v>
      </c>
      <c r="CI363" s="99">
        <v>0</v>
      </c>
      <c r="CJ363" s="99">
        <v>0</v>
      </c>
      <c r="CK363" s="99">
        <v>0</v>
      </c>
      <c r="CL363" s="99">
        <v>0</v>
      </c>
      <c r="CM363" s="99">
        <v>0</v>
      </c>
      <c r="CN363" s="99">
        <v>0</v>
      </c>
      <c r="CO363" s="99">
        <v>0</v>
      </c>
      <c r="CP363" s="99">
        <v>0</v>
      </c>
      <c r="CQ363" s="99">
        <v>0</v>
      </c>
      <c r="CR363" s="99">
        <v>0</v>
      </c>
    </row>
    <row r="364" spans="1:96" x14ac:dyDescent="0.3">
      <c r="D364" s="1179"/>
      <c r="E364" s="1180"/>
      <c r="F364" s="1180" t="e">
        <f>F44/(F49-F36+F97+F115)</f>
        <v>#DIV/0!</v>
      </c>
      <c r="G364" s="1180" t="e">
        <f t="shared" ref="G364:BR364" si="0">G44/(G49-G36+G97+G115)</f>
        <v>#DIV/0!</v>
      </c>
      <c r="H364" s="1180">
        <f t="shared" si="0"/>
        <v>1.7878103586675445</v>
      </c>
      <c r="I364" s="1180">
        <f t="shared" si="0"/>
        <v>0.31387702895026032</v>
      </c>
      <c r="J364" s="1180">
        <f t="shared" si="0"/>
        <v>3.3290598359272678</v>
      </c>
      <c r="K364" s="1180">
        <f t="shared" si="0"/>
        <v>0.15966255217121036</v>
      </c>
      <c r="L364" s="1180">
        <f t="shared" si="0"/>
        <v>1.5640104629401632</v>
      </c>
      <c r="M364" s="1180">
        <f t="shared" si="0"/>
        <v>1.2689527723118337</v>
      </c>
      <c r="N364" s="1180" t="e">
        <f t="shared" si="0"/>
        <v>#DIV/0!</v>
      </c>
      <c r="O364" s="1180">
        <f t="shared" si="0"/>
        <v>3.5260678871538751</v>
      </c>
      <c r="P364" s="1180">
        <f t="shared" si="0"/>
        <v>0.1414103542690186</v>
      </c>
      <c r="Q364" s="1180" t="e">
        <f t="shared" si="0"/>
        <v>#DIV/0!</v>
      </c>
      <c r="R364" s="1180">
        <f t="shared" si="0"/>
        <v>0.21766282553109811</v>
      </c>
      <c r="S364" s="1180" t="e">
        <f t="shared" si="0"/>
        <v>#DIV/0!</v>
      </c>
      <c r="T364" s="1180" t="e">
        <f t="shared" si="0"/>
        <v>#DIV/0!</v>
      </c>
      <c r="U364" s="1180" t="e">
        <f t="shared" si="0"/>
        <v>#DIV/0!</v>
      </c>
      <c r="V364" s="1180">
        <f t="shared" si="0"/>
        <v>1.0465012958163644</v>
      </c>
      <c r="W364" s="1180" t="e">
        <f t="shared" si="0"/>
        <v>#DIV/0!</v>
      </c>
      <c r="X364" s="1180">
        <f t="shared" si="0"/>
        <v>3.7562215276458093</v>
      </c>
      <c r="Y364" s="1180" t="e">
        <f t="shared" si="0"/>
        <v>#DIV/0!</v>
      </c>
      <c r="Z364" s="1180">
        <f t="shared" si="0"/>
        <v>1.4075027798911453</v>
      </c>
      <c r="AA364" s="1180" t="e">
        <f t="shared" si="0"/>
        <v>#DIV/0!</v>
      </c>
      <c r="AB364" s="1180">
        <f t="shared" si="0"/>
        <v>0.57990850683705064</v>
      </c>
      <c r="AC364" s="1180">
        <f t="shared" si="0"/>
        <v>0.91341341442879831</v>
      </c>
      <c r="AD364" s="1180">
        <f t="shared" si="0"/>
        <v>0.77476000936548817</v>
      </c>
      <c r="AE364" s="1180">
        <f t="shared" si="0"/>
        <v>0.83579816835370935</v>
      </c>
      <c r="AF364" s="1180">
        <f t="shared" si="0"/>
        <v>0.8838281061678912</v>
      </c>
      <c r="AG364" s="1180" t="e">
        <f t="shared" si="0"/>
        <v>#DIV/0!</v>
      </c>
      <c r="AH364" s="1180">
        <f t="shared" si="0"/>
        <v>2.1557736175344586</v>
      </c>
      <c r="AI364" s="1180" t="e">
        <f t="shared" si="0"/>
        <v>#DIV/0!</v>
      </c>
      <c r="AJ364" s="1180">
        <f t="shared" si="0"/>
        <v>0.57932797662527391</v>
      </c>
      <c r="AK364" s="1180">
        <f t="shared" si="0"/>
        <v>0.59752214658343494</v>
      </c>
      <c r="AL364" s="1180">
        <f t="shared" si="0"/>
        <v>0.56936649545011386</v>
      </c>
      <c r="AM364" s="1180">
        <f t="shared" si="0"/>
        <v>0.24308603602427056</v>
      </c>
      <c r="AN364" s="1180">
        <f t="shared" si="0"/>
        <v>0.14593465996518129</v>
      </c>
      <c r="AO364" s="1180">
        <f t="shared" si="0"/>
        <v>1.1253830934554059</v>
      </c>
      <c r="AP364" s="1180" t="e">
        <f t="shared" si="0"/>
        <v>#DIV/0!</v>
      </c>
      <c r="AQ364" s="1180">
        <f t="shared" si="0"/>
        <v>0.17999894535301053</v>
      </c>
      <c r="AR364" s="1180" t="e">
        <f t="shared" si="0"/>
        <v>#DIV/0!</v>
      </c>
      <c r="AS364" s="1180" t="e">
        <f t="shared" si="0"/>
        <v>#DIV/0!</v>
      </c>
      <c r="AT364" s="1180" t="e">
        <f t="shared" si="0"/>
        <v>#DIV/0!</v>
      </c>
      <c r="AU364" s="1180" t="e">
        <f t="shared" si="0"/>
        <v>#DIV/0!</v>
      </c>
      <c r="AV364" s="1180" t="e">
        <f t="shared" si="0"/>
        <v>#DIV/0!</v>
      </c>
      <c r="AW364" s="1180">
        <f t="shared" si="0"/>
        <v>1.1000540222856769</v>
      </c>
      <c r="AX364" s="1180">
        <f t="shared" si="0"/>
        <v>0.99443944119574101</v>
      </c>
      <c r="AY364" s="1180">
        <f t="shared" si="0"/>
        <v>2.1384559325426356</v>
      </c>
      <c r="AZ364" s="1180" t="e">
        <f t="shared" si="0"/>
        <v>#DIV/0!</v>
      </c>
      <c r="BA364" s="1180" t="e">
        <f t="shared" si="0"/>
        <v>#DIV/0!</v>
      </c>
      <c r="BB364" s="1180">
        <f t="shared" si="0"/>
        <v>0.69809446772697659</v>
      </c>
      <c r="BC364" s="1180" t="e">
        <f t="shared" si="0"/>
        <v>#DIV/0!</v>
      </c>
      <c r="BD364" s="1180">
        <f t="shared" si="0"/>
        <v>1.8403998565358386</v>
      </c>
      <c r="BE364" s="1180">
        <f t="shared" si="0"/>
        <v>3.2688517526851939</v>
      </c>
      <c r="BF364" s="1180">
        <f t="shared" si="0"/>
        <v>0.7822719497806857</v>
      </c>
      <c r="BG364" s="1180">
        <f t="shared" si="0"/>
        <v>0.34825871910835576</v>
      </c>
      <c r="BH364" s="1180">
        <f t="shared" si="0"/>
        <v>1.7203739726601013</v>
      </c>
      <c r="BI364" s="1180">
        <f t="shared" si="0"/>
        <v>1.2176012873525757</v>
      </c>
      <c r="BJ364" s="1180" t="e">
        <f t="shared" si="0"/>
        <v>#DIV/0!</v>
      </c>
      <c r="BK364" s="1180" t="e">
        <f t="shared" si="0"/>
        <v>#DIV/0!</v>
      </c>
      <c r="BL364" s="1180" t="e">
        <f t="shared" si="0"/>
        <v>#DIV/0!</v>
      </c>
      <c r="BM364" s="1180">
        <f t="shared" si="0"/>
        <v>0.77723881078477197</v>
      </c>
      <c r="BN364" s="1180">
        <f t="shared" si="0"/>
        <v>1.7773605007324544</v>
      </c>
      <c r="BO364" s="1180" t="e">
        <f t="shared" si="0"/>
        <v>#DIV/0!</v>
      </c>
      <c r="BP364" s="1180" t="e">
        <f t="shared" si="0"/>
        <v>#DIV/0!</v>
      </c>
      <c r="BQ364" s="1180">
        <f t="shared" si="0"/>
        <v>1.5014226840635236</v>
      </c>
      <c r="BR364" s="1180" t="e">
        <f t="shared" si="0"/>
        <v>#DIV/0!</v>
      </c>
      <c r="BS364" s="1180" t="e">
        <f t="shared" ref="BS364:CR364" si="1">BS44/(BS49-BS36+BS97+BS115)</f>
        <v>#DIV/0!</v>
      </c>
      <c r="BT364" s="1180" t="e">
        <f t="shared" si="1"/>
        <v>#DIV/0!</v>
      </c>
      <c r="BU364" s="1180">
        <f t="shared" si="1"/>
        <v>0.97765214628204555</v>
      </c>
      <c r="BV364" s="1180" t="e">
        <f t="shared" si="1"/>
        <v>#DIV/0!</v>
      </c>
      <c r="BW364" s="1180" t="e">
        <f t="shared" si="1"/>
        <v>#DIV/0!</v>
      </c>
      <c r="BX364" s="1180">
        <f t="shared" si="1"/>
        <v>1.9213613147368891</v>
      </c>
      <c r="BY364" s="1180">
        <f t="shared" si="1"/>
        <v>0.82539148533415874</v>
      </c>
      <c r="BZ364" s="1180">
        <f t="shared" si="1"/>
        <v>4.9636976047904193</v>
      </c>
      <c r="CA364" s="1180" t="e">
        <f t="shared" si="1"/>
        <v>#DIV/0!</v>
      </c>
      <c r="CB364" s="1180">
        <f t="shared" si="1"/>
        <v>1.823738212461034</v>
      </c>
      <c r="CC364" s="1180" t="e">
        <f t="shared" si="1"/>
        <v>#DIV/0!</v>
      </c>
      <c r="CD364" s="1180">
        <f t="shared" si="1"/>
        <v>0.79006876181947594</v>
      </c>
      <c r="CE364" s="1180">
        <f t="shared" si="1"/>
        <v>0.19835671653360204</v>
      </c>
      <c r="CF364" s="1180">
        <f t="shared" si="1"/>
        <v>1.7773605040119846</v>
      </c>
      <c r="CG364" s="1180">
        <f t="shared" si="1"/>
        <v>0.10319247917078901</v>
      </c>
      <c r="CH364" s="1180">
        <f t="shared" si="1"/>
        <v>0.52708036670097036</v>
      </c>
      <c r="CI364" s="1180">
        <f t="shared" si="1"/>
        <v>0.90210546583547879</v>
      </c>
      <c r="CJ364" s="1180">
        <f t="shared" si="1"/>
        <v>0.59229484160000179</v>
      </c>
      <c r="CK364" s="1180">
        <f t="shared" si="1"/>
        <v>1.9817394610041705</v>
      </c>
      <c r="CL364" s="1180" t="e">
        <f t="shared" si="1"/>
        <v>#DIV/0!</v>
      </c>
      <c r="CM364" s="1180">
        <f t="shared" si="1"/>
        <v>1.5941897766159927</v>
      </c>
      <c r="CN364" s="1180">
        <f t="shared" si="1"/>
        <v>2.7391802963988159</v>
      </c>
      <c r="CO364" s="1180">
        <f t="shared" si="1"/>
        <v>1.5706344680865254</v>
      </c>
      <c r="CP364" s="1180">
        <f t="shared" si="1"/>
        <v>1.0757160578844949</v>
      </c>
      <c r="CQ364" s="1180" t="e">
        <f t="shared" si="1"/>
        <v>#DIV/0!</v>
      </c>
      <c r="CR364" s="1180" t="e">
        <f t="shared" si="1"/>
        <v>#DIV/0!</v>
      </c>
    </row>
    <row r="365" spans="1:96" x14ac:dyDescent="0.3">
      <c r="D365" s="1179"/>
      <c r="E365" s="1180"/>
      <c r="F365" s="1181" t="e">
        <f>F349-F364</f>
        <v>#DIV/0!</v>
      </c>
      <c r="G365" s="1181" t="e">
        <f t="shared" ref="G365:I365" si="2">G349-G364</f>
        <v>#DIV/0!</v>
      </c>
      <c r="H365" s="1181">
        <f t="shared" si="2"/>
        <v>2.189641332455583E-3</v>
      </c>
      <c r="I365" s="1181">
        <f t="shared" si="2"/>
        <v>-3.8770289502603195E-3</v>
      </c>
      <c r="J365" s="1181">
        <f t="shared" ref="J365" si="3">J349-J364</f>
        <v>9.4016407273223024E-4</v>
      </c>
      <c r="K365" s="1181">
        <f t="shared" ref="K365" si="4">K349-K364</f>
        <v>3.3744782878963875E-4</v>
      </c>
      <c r="L365" s="1181">
        <f t="shared" ref="L365" si="5">L349-L364</f>
        <v>-4.010462940163162E-3</v>
      </c>
      <c r="M365" s="1181">
        <f t="shared" ref="M365" si="6">M349-M364</f>
        <v>1.0472276881663412E-3</v>
      </c>
      <c r="N365" s="1181" t="e">
        <f t="shared" ref="N365" si="7">N349-N364</f>
        <v>#DIV/0!</v>
      </c>
      <c r="O365" s="1181">
        <f t="shared" ref="O365" si="8">O349-O364</f>
        <v>3.9321128461247135E-3</v>
      </c>
      <c r="P365" s="1181">
        <f t="shared" ref="P365" si="9">P349-P364</f>
        <v>-1.4103542690185877E-3</v>
      </c>
      <c r="Q365" s="1181" t="e">
        <f t="shared" ref="Q365" si="10">Q349-Q364</f>
        <v>#DIV/0!</v>
      </c>
      <c r="R365" s="1181">
        <f t="shared" ref="R365" si="11">R349-R364</f>
        <v>2.337174468901887E-3</v>
      </c>
      <c r="S365" s="1181" t="e">
        <f t="shared" ref="S365" si="12">S349-S364</f>
        <v>#DIV/0!</v>
      </c>
      <c r="T365" s="1181" t="e">
        <f t="shared" ref="T365" si="13">T349-T364</f>
        <v>#DIV/0!</v>
      </c>
      <c r="U365" s="1181" t="e">
        <f t="shared" ref="U365" si="14">U349-U364</f>
        <v>#DIV/0!</v>
      </c>
      <c r="V365" s="1181">
        <f t="shared" ref="V365" si="15">V349-V364</f>
        <v>3.4987041836356259E-3</v>
      </c>
      <c r="W365" s="1181" t="e">
        <f t="shared" ref="W365" si="16">W349-W364</f>
        <v>#DIV/0!</v>
      </c>
      <c r="X365" s="1181">
        <f t="shared" ref="X365" si="17">X349-X364</f>
        <v>3.7784723541904874E-3</v>
      </c>
      <c r="Y365" s="1181" t="e">
        <f t="shared" ref="Y365" si="18">Y349-Y364</f>
        <v>#DIV/0!</v>
      </c>
      <c r="Z365" s="1181">
        <f t="shared" ref="Z365" si="19">Z349-Z364</f>
        <v>2.4972201088546697E-3</v>
      </c>
      <c r="AA365" s="1181" t="e">
        <f t="shared" ref="AA365" si="20">AA349-AA364</f>
        <v>#DIV/0!</v>
      </c>
      <c r="AB365" s="1181">
        <f t="shared" ref="AB365" si="21">AB349-AB364</f>
        <v>9.1493162949318751E-5</v>
      </c>
      <c r="AC365" s="1181">
        <f t="shared" ref="AC365" si="22">AC349-AC364</f>
        <v>-3.4134144287982782E-3</v>
      </c>
      <c r="AD365" s="1181">
        <f t="shared" ref="AD365" si="23">AD349-AD364</f>
        <v>-4.7600093654881492E-3</v>
      </c>
      <c r="AE365" s="1181">
        <f t="shared" ref="AE365" si="24">AE349-AE364</f>
        <v>4.2018316462906213E-3</v>
      </c>
      <c r="AF365" s="1181">
        <f t="shared" ref="AF365" si="25">AF349-AF364</f>
        <v>-3.8281061678911987E-3</v>
      </c>
      <c r="AG365" s="1181" t="e">
        <f t="shared" ref="AG365" si="26">AG349-AG364</f>
        <v>#DIV/0!</v>
      </c>
      <c r="AH365" s="1181">
        <f t="shared" ref="AH365" si="27">AH349-AH364</f>
        <v>4.2263824655415227E-3</v>
      </c>
      <c r="AI365" s="1181" t="e">
        <f t="shared" ref="AI365" si="28">AI349-AI364</f>
        <v>#DIV/0!</v>
      </c>
      <c r="AJ365" s="1181">
        <f t="shared" ref="AJ365" si="29">AJ349-AJ364</f>
        <v>6.7202337472604956E-4</v>
      </c>
      <c r="AK365" s="1181">
        <f t="shared" ref="AK365" si="30">AK349-AK364</f>
        <v>2.4778534165650345E-3</v>
      </c>
      <c r="AL365" s="1181">
        <f t="shared" ref="AL365" si="31">AL349-AL364</f>
        <v>6.3350454988608806E-4</v>
      </c>
      <c r="AM365" s="1181">
        <f t="shared" ref="AM365" si="32">AM349-AM364</f>
        <v>-3.086036024270572E-3</v>
      </c>
      <c r="AN365" s="1181">
        <f t="shared" ref="AN365" si="33">AN349-AN364</f>
        <v>4.0653400348187041E-3</v>
      </c>
      <c r="AO365" s="1181">
        <f t="shared" ref="AO365" si="34">AO349-AO364</f>
        <v>4.6169065445940127E-3</v>
      </c>
      <c r="AP365" s="1181" t="e">
        <f t="shared" ref="AP365" si="35">AP349-AP364</f>
        <v>#DIV/0!</v>
      </c>
      <c r="AQ365" s="1181">
        <f t="shared" ref="AQ365" si="36">AQ349-AQ364</f>
        <v>1.0546469894623378E-6</v>
      </c>
      <c r="AR365" s="1181" t="e">
        <f t="shared" ref="AR365" si="37">AR349-AR364</f>
        <v>#DIV/0!</v>
      </c>
      <c r="AS365" s="1181" t="e">
        <f t="shared" ref="AS365" si="38">AS349-AS364</f>
        <v>#DIV/0!</v>
      </c>
      <c r="AT365" s="1181" t="e">
        <f t="shared" ref="AT365" si="39">AT349-AT364</f>
        <v>#DIV/0!</v>
      </c>
      <c r="AU365" s="1181" t="e">
        <f t="shared" ref="AU365" si="40">AU349-AU364</f>
        <v>#DIV/0!</v>
      </c>
      <c r="AV365" s="1181" t="e">
        <f t="shared" ref="AV365" si="41">AV349-AV364</f>
        <v>#DIV/0!</v>
      </c>
      <c r="AW365" s="1181">
        <f t="shared" ref="AW365" si="42">AW349-AW364</f>
        <v>-5.4022285676857962E-5</v>
      </c>
      <c r="AX365" s="1181">
        <f t="shared" ref="AX365" si="43">AX349-AX364</f>
        <v>-4.4394411957410229E-3</v>
      </c>
      <c r="AY365" s="1181">
        <f t="shared" ref="AY365" si="44">AY349-AY364</f>
        <v>1.544067457364573E-3</v>
      </c>
      <c r="AZ365" s="1181" t="e">
        <f t="shared" ref="AZ365" si="45">AZ349-AZ364</f>
        <v>#DIV/0!</v>
      </c>
      <c r="BA365" s="1181" t="e">
        <f t="shared" ref="BA365" si="46">BA349-BA364</f>
        <v>#DIV/0!</v>
      </c>
      <c r="BB365" s="1181">
        <f t="shared" ref="BB365" si="47">BB349-BB364</f>
        <v>1.9055322730233692E-3</v>
      </c>
      <c r="BC365" s="1181" t="e">
        <f t="shared" ref="BC365" si="48">BC349-BC364</f>
        <v>#DIV/0!</v>
      </c>
      <c r="BD365" s="1181">
        <f t="shared" ref="BD365" si="49">BD349-BD364</f>
        <v>-3.9985653583851644E-4</v>
      </c>
      <c r="BE365" s="1181">
        <f t="shared" ref="BE365" si="50">BE349-BE364</f>
        <v>1.1482473148061167E-3</v>
      </c>
      <c r="BF365" s="1181">
        <f t="shared" ref="BF365" si="51">BF349-BF364</f>
        <v>-2.2719497806856781E-3</v>
      </c>
      <c r="BG365" s="1181">
        <f t="shared" ref="BG365" si="52">BG349-BG364</f>
        <v>1.7412808916442146E-3</v>
      </c>
      <c r="BH365" s="1181">
        <f t="shared" ref="BH365" si="53">BH349-BH364</f>
        <v>-3.7397266010130714E-4</v>
      </c>
      <c r="BI365" s="1181">
        <f t="shared" ref="BI365" si="54">BI349-BI364</f>
        <v>2.3987126474243059E-3</v>
      </c>
      <c r="BJ365" s="1181" t="e">
        <f t="shared" ref="BJ365" si="55">BJ349-BJ364</f>
        <v>#DIV/0!</v>
      </c>
      <c r="BK365" s="1181" t="e">
        <f t="shared" ref="BK365" si="56">BK349-BK364</f>
        <v>#DIV/0!</v>
      </c>
      <c r="BL365" s="1181" t="e">
        <f t="shared" ref="BL365" si="57">BL349-BL364</f>
        <v>#DIV/0!</v>
      </c>
      <c r="BM365" s="1181">
        <f t="shared" ref="BM365" si="58">BM349-BM364</f>
        <v>2.7611892152280548E-3</v>
      </c>
      <c r="BN365" s="1181">
        <f t="shared" ref="BN365" si="59">BN349-BN364</f>
        <v>2.6394992675455864E-3</v>
      </c>
      <c r="BO365" s="1181" t="e">
        <f t="shared" ref="BO365" si="60">BO349-BO364</f>
        <v>#DIV/0!</v>
      </c>
      <c r="BP365" s="1181" t="e">
        <f t="shared" ref="BP365" si="61">BP349-BP364</f>
        <v>#DIV/0!</v>
      </c>
      <c r="BQ365" s="1181">
        <f t="shared" ref="BQ365" si="62">BQ349-BQ364</f>
        <v>-1.4226840635236382E-3</v>
      </c>
      <c r="BR365" s="1181" t="e">
        <f t="shared" ref="BR365" si="63">BR349-BR364</f>
        <v>#DIV/0!</v>
      </c>
      <c r="BS365" s="1181" t="e">
        <f t="shared" ref="BS365" si="64">BS349-BS364</f>
        <v>#DIV/0!</v>
      </c>
      <c r="BT365" s="1181" t="e">
        <f t="shared" ref="BT365" si="65">BT349-BT364</f>
        <v>#DIV/0!</v>
      </c>
      <c r="BU365" s="1181">
        <f t="shared" ref="BU365" si="66">BU349-BU364</f>
        <v>2.347853717954429E-3</v>
      </c>
      <c r="BV365" s="1181" t="e">
        <f t="shared" ref="BV365" si="67">BV349-BV364</f>
        <v>#DIV/0!</v>
      </c>
      <c r="BW365" s="1181" t="e">
        <f t="shared" ref="BW365" si="68">BW349-BW364</f>
        <v>#DIV/0!</v>
      </c>
      <c r="BX365" s="1181">
        <f t="shared" ref="BX365" si="69">BX349-BX364</f>
        <v>-1.3613147368891632E-3</v>
      </c>
      <c r="BY365" s="1181">
        <f t="shared" ref="BY365" si="70">BY349-BY364</f>
        <v>4.6085146658412235E-3</v>
      </c>
      <c r="BZ365" s="1181">
        <f t="shared" ref="BZ365" si="71">BZ349-BZ364</f>
        <v>-3.6976047904193621E-3</v>
      </c>
      <c r="CA365" s="1181" t="e">
        <f t="shared" ref="CA365" si="72">CA349-CA364</f>
        <v>#DIV/0!</v>
      </c>
      <c r="CB365" s="1181">
        <f t="shared" ref="CB365" si="73">CB349-CB364</f>
        <v>-3.7382124610338963E-3</v>
      </c>
      <c r="CC365" s="1181" t="e">
        <f t="shared" ref="CC365" si="74">CC349-CC364</f>
        <v>#DIV/0!</v>
      </c>
      <c r="CD365" s="1181">
        <f t="shared" ref="CD365" si="75">CD349-CD364</f>
        <v>-6.8761819475904318E-5</v>
      </c>
      <c r="CE365" s="1181">
        <f t="shared" ref="CE365" si="76">CE349-CE364</f>
        <v>1.6432834663979712E-3</v>
      </c>
      <c r="CF365" s="1181">
        <f t="shared" ref="CF365" si="77">CF349-CF364</f>
        <v>2.6394959880153834E-3</v>
      </c>
      <c r="CG365" s="1181">
        <f t="shared" ref="CG365" si="78">CG349-CG364</f>
        <v>-3.192479170789006E-3</v>
      </c>
      <c r="CH365" s="1181">
        <f t="shared" ref="CH365" si="79">CH349-CH364</f>
        <v>2.919633299029667E-3</v>
      </c>
      <c r="CI365" s="1181">
        <f t="shared" ref="CI365" si="80">CI349-CI364</f>
        <v>-2.1054658354787703E-3</v>
      </c>
      <c r="CJ365" s="1181">
        <f t="shared" ref="CJ365" si="81">CJ349-CJ364</f>
        <v>-2.2948416000018179E-3</v>
      </c>
      <c r="CK365" s="1181">
        <f t="shared" ref="CK365" si="82">CK349-CK364</f>
        <v>-1.7394610041705505E-3</v>
      </c>
      <c r="CL365" s="1181" t="e">
        <f t="shared" ref="CL365" si="83">CL349-CL364</f>
        <v>#DIV/0!</v>
      </c>
      <c r="CM365" s="1181">
        <f t="shared" ref="CM365" si="84">CM349-CM364</f>
        <v>-4.1897766159926242E-3</v>
      </c>
      <c r="CN365" s="1181">
        <f t="shared" ref="CN365" si="85">CN349-CN364</f>
        <v>8.197036011843295E-4</v>
      </c>
      <c r="CO365" s="1181">
        <f t="shared" ref="CO365" si="86">CO349-CO364</f>
        <v>-6.3446808652534159E-4</v>
      </c>
      <c r="CP365" s="1181">
        <f t="shared" ref="CP365" si="87">CP349-CP364</f>
        <v>4.2839421155052015E-3</v>
      </c>
      <c r="CQ365" s="1181" t="e">
        <f t="shared" ref="CQ365" si="88">CQ349-CQ364</f>
        <v>#DIV/0!</v>
      </c>
      <c r="CR365" s="1181" t="e">
        <f t="shared" ref="CR365" si="89">CR349-CR364</f>
        <v>#DIV/0!</v>
      </c>
    </row>
    <row r="366" spans="1:96" x14ac:dyDescent="0.3">
      <c r="F366" s="1129"/>
      <c r="G366" s="1129"/>
      <c r="H366" s="1129"/>
      <c r="I366" s="1129"/>
      <c r="L366" s="1129"/>
      <c r="M366" s="1129"/>
      <c r="N366" s="1129"/>
      <c r="P366" s="1129"/>
      <c r="R366" s="1129"/>
      <c r="S366" s="1129"/>
      <c r="U366" s="1129"/>
      <c r="V366" s="1129"/>
      <c r="X366" s="1129"/>
      <c r="Y366" s="1129"/>
      <c r="AC366" s="1129"/>
      <c r="AD366" s="1129"/>
      <c r="AE366" s="1129"/>
      <c r="AF366" s="1129"/>
      <c r="AI366" s="1129"/>
      <c r="AJ366" s="1129"/>
      <c r="AK366" s="1129"/>
      <c r="AO366" s="1129"/>
      <c r="AP366" s="1129"/>
      <c r="AQ366" s="1129"/>
      <c r="AS366" s="1129"/>
      <c r="AT366" s="1129"/>
      <c r="AU366" s="1129"/>
      <c r="AV366" s="1129"/>
      <c r="AX366" s="1129"/>
      <c r="AY366" s="1129"/>
      <c r="AZ366" s="1129"/>
      <c r="BA366" s="1129"/>
      <c r="BD366" s="1129"/>
      <c r="BF366" s="1129"/>
      <c r="BG366" s="1129"/>
      <c r="BH366" s="1129"/>
      <c r="BI366" s="1129"/>
      <c r="BJ366" s="1129"/>
      <c r="BK366" s="1129"/>
      <c r="BL366" s="1129"/>
      <c r="BN366" s="1129"/>
      <c r="BO366" s="1129"/>
      <c r="BQ366" s="1129"/>
      <c r="BR366" s="1129"/>
      <c r="BS366" s="1129"/>
    </row>
    <row r="367" spans="1:96" x14ac:dyDescent="0.3">
      <c r="F367" s="1129"/>
      <c r="G367" s="1129"/>
      <c r="H367" s="1129"/>
      <c r="I367" s="1129"/>
      <c r="L367" s="1129"/>
      <c r="M367" s="1129"/>
      <c r="N367" s="1129"/>
      <c r="P367" s="1129"/>
      <c r="R367" s="1129"/>
      <c r="S367" s="1129"/>
      <c r="V367" s="1129"/>
      <c r="X367" s="1129"/>
      <c r="Y367" s="1129"/>
      <c r="AC367" s="1129"/>
      <c r="AD367" s="1129"/>
      <c r="AE367" s="1129"/>
      <c r="AF367" s="1129"/>
      <c r="AI367" s="1129"/>
      <c r="AJ367" s="1129"/>
      <c r="AK367" s="1129"/>
      <c r="AO367" s="1129"/>
      <c r="AQ367" s="1129"/>
      <c r="AS367" s="1129"/>
      <c r="AT367" s="1129"/>
      <c r="AU367" s="1129"/>
      <c r="AV367" s="1129"/>
      <c r="AX367" s="1129"/>
      <c r="AY367" s="1129"/>
      <c r="AZ367" s="1129"/>
      <c r="BD367" s="1129"/>
      <c r="BG367" s="1129"/>
      <c r="BH367" s="1129"/>
      <c r="BI367" s="1129"/>
      <c r="BJ367" s="1129"/>
      <c r="BK367" s="1129"/>
      <c r="BL367" s="1129"/>
      <c r="BO367" s="1129"/>
      <c r="BQ367" s="1129"/>
      <c r="BR367" s="1129"/>
      <c r="BS367" s="1129"/>
    </row>
    <row r="368" spans="1:96" x14ac:dyDescent="0.3">
      <c r="A368" s="99">
        <v>44</v>
      </c>
      <c r="C368" s="99">
        <v>44</v>
      </c>
      <c r="D368" s="99" t="s">
        <v>626</v>
      </c>
      <c r="E368" s="99" t="s">
        <v>334</v>
      </c>
      <c r="F368" s="99">
        <v>0</v>
      </c>
      <c r="G368" s="99">
        <v>0</v>
      </c>
      <c r="H368" s="1130">
        <v>688295</v>
      </c>
      <c r="I368" s="1129">
        <v>1273189</v>
      </c>
      <c r="J368" s="1130">
        <v>2184054</v>
      </c>
      <c r="K368" s="1130">
        <v>164556</v>
      </c>
      <c r="L368" s="1130">
        <v>19847637</v>
      </c>
      <c r="M368" s="1130">
        <v>747193</v>
      </c>
      <c r="N368" s="1129">
        <v>0</v>
      </c>
      <c r="O368" s="1130">
        <v>1536884</v>
      </c>
      <c r="P368" s="1130">
        <v>220824</v>
      </c>
      <c r="Q368" s="99">
        <v>0</v>
      </c>
      <c r="R368" s="1130">
        <v>87704</v>
      </c>
      <c r="S368" s="99">
        <v>0</v>
      </c>
      <c r="T368" s="99">
        <v>0</v>
      </c>
      <c r="U368" s="99">
        <v>0</v>
      </c>
      <c r="V368" s="1130">
        <v>5959348</v>
      </c>
      <c r="W368" s="99">
        <v>0</v>
      </c>
      <c r="X368" s="1130">
        <v>2657370</v>
      </c>
      <c r="Y368" s="99">
        <v>0</v>
      </c>
      <c r="Z368" s="1130">
        <v>2287113</v>
      </c>
      <c r="AA368" s="99">
        <v>0</v>
      </c>
      <c r="AB368" s="1130">
        <v>2871984</v>
      </c>
      <c r="AC368" s="1130">
        <v>2697373</v>
      </c>
      <c r="AD368" s="1130">
        <v>189251</v>
      </c>
      <c r="AE368" s="99">
        <v>0</v>
      </c>
      <c r="AF368" s="1130">
        <v>12984915</v>
      </c>
      <c r="AG368" s="99">
        <v>0</v>
      </c>
      <c r="AH368" s="1130">
        <v>1997025</v>
      </c>
      <c r="AI368" s="99">
        <v>0</v>
      </c>
      <c r="AJ368" s="1130">
        <v>504633</v>
      </c>
      <c r="AK368" s="1129">
        <v>2077419</v>
      </c>
      <c r="AL368" s="1130">
        <v>1669870</v>
      </c>
      <c r="AM368" s="1130">
        <v>951778</v>
      </c>
      <c r="AN368" s="99">
        <v>0</v>
      </c>
      <c r="AO368" s="1129">
        <v>63933</v>
      </c>
      <c r="AP368" s="99">
        <v>0</v>
      </c>
      <c r="AQ368" s="1130">
        <v>1637391</v>
      </c>
      <c r="AR368" s="99">
        <v>0</v>
      </c>
      <c r="AS368" s="99">
        <v>0</v>
      </c>
      <c r="AT368" s="99">
        <v>0</v>
      </c>
      <c r="AU368" s="99">
        <v>0</v>
      </c>
      <c r="AV368" s="99">
        <v>0</v>
      </c>
      <c r="AW368" s="1130">
        <v>197146</v>
      </c>
      <c r="AX368" s="1130">
        <v>3024911</v>
      </c>
      <c r="AY368" s="1130">
        <v>435675</v>
      </c>
      <c r="AZ368" s="99">
        <v>0</v>
      </c>
      <c r="BA368" s="1130">
        <v>456225</v>
      </c>
      <c r="BB368" s="1130">
        <v>3083289</v>
      </c>
      <c r="BC368" s="99">
        <v>0</v>
      </c>
      <c r="BD368" s="1130">
        <v>1733950</v>
      </c>
      <c r="BE368" s="1130">
        <v>1172247</v>
      </c>
      <c r="BF368" s="1130">
        <v>160695</v>
      </c>
      <c r="BG368" s="1130">
        <v>889007</v>
      </c>
      <c r="BH368" s="1130">
        <v>2259651</v>
      </c>
      <c r="BI368" s="1129">
        <v>7769621</v>
      </c>
      <c r="BJ368" s="99">
        <v>0</v>
      </c>
      <c r="BK368" s="99">
        <v>0</v>
      </c>
      <c r="BL368" s="99">
        <v>0</v>
      </c>
      <c r="BM368" s="1130">
        <v>5313861</v>
      </c>
      <c r="BN368" s="1130">
        <v>3867236</v>
      </c>
      <c r="BO368" s="99">
        <v>0</v>
      </c>
      <c r="BP368" s="99">
        <v>0</v>
      </c>
      <c r="BQ368" s="1130">
        <v>2487314</v>
      </c>
      <c r="BR368" s="99">
        <v>0</v>
      </c>
      <c r="BS368" s="99">
        <v>0</v>
      </c>
      <c r="BT368" s="99">
        <v>0</v>
      </c>
      <c r="BU368" s="1130">
        <v>1097384</v>
      </c>
      <c r="BV368" s="99">
        <v>0</v>
      </c>
      <c r="BW368" s="99">
        <v>0</v>
      </c>
      <c r="BX368" s="99">
        <v>0</v>
      </c>
      <c r="BY368" s="1130">
        <v>2952434</v>
      </c>
      <c r="BZ368" s="1130">
        <v>81365</v>
      </c>
      <c r="CA368" s="99">
        <v>0</v>
      </c>
      <c r="CB368" s="1130">
        <v>7710067</v>
      </c>
      <c r="CC368" s="99">
        <v>0</v>
      </c>
      <c r="CD368" s="1130">
        <v>21464522</v>
      </c>
      <c r="CE368" s="1130">
        <v>40995</v>
      </c>
      <c r="CF368" s="1130">
        <v>7807545</v>
      </c>
      <c r="CG368" s="1130">
        <v>63845</v>
      </c>
      <c r="CH368" s="1130">
        <v>1193620</v>
      </c>
      <c r="CI368" s="1130">
        <v>94355028</v>
      </c>
      <c r="CJ368" s="1130">
        <v>2859391</v>
      </c>
      <c r="CK368" s="99">
        <v>0</v>
      </c>
      <c r="CL368" s="99">
        <v>0</v>
      </c>
      <c r="CM368" s="1130">
        <v>372254</v>
      </c>
      <c r="CN368" s="1130">
        <v>8456125</v>
      </c>
      <c r="CO368" s="1130">
        <v>3725506</v>
      </c>
      <c r="CP368" s="1130">
        <v>2473825</v>
      </c>
      <c r="CQ368" s="99">
        <v>0</v>
      </c>
      <c r="CR368" s="99">
        <v>0</v>
      </c>
    </row>
    <row r="369" spans="1:96" x14ac:dyDescent="0.3">
      <c r="A369" s="99">
        <v>45</v>
      </c>
      <c r="C369" s="99">
        <v>45</v>
      </c>
      <c r="D369" s="99" t="s">
        <v>627</v>
      </c>
      <c r="E369" s="99" t="s">
        <v>335</v>
      </c>
      <c r="F369" s="99">
        <v>0</v>
      </c>
      <c r="G369" s="99">
        <v>0</v>
      </c>
      <c r="H369" s="1130">
        <v>43911</v>
      </c>
      <c r="I369" s="1129">
        <v>801049</v>
      </c>
      <c r="J369" s="1130">
        <v>86287</v>
      </c>
      <c r="K369" s="1130">
        <v>120624</v>
      </c>
      <c r="L369" s="1130">
        <v>3384075</v>
      </c>
      <c r="M369" s="1130">
        <v>90083</v>
      </c>
      <c r="N369" s="1129">
        <v>0</v>
      </c>
      <c r="O369" s="1130">
        <v>54328</v>
      </c>
      <c r="P369" s="1130">
        <v>219679</v>
      </c>
      <c r="Q369" s="99">
        <v>0</v>
      </c>
      <c r="R369" s="1130">
        <v>45329</v>
      </c>
      <c r="S369" s="99">
        <v>0</v>
      </c>
      <c r="T369" s="99">
        <v>0</v>
      </c>
      <c r="U369" s="99">
        <v>0</v>
      </c>
      <c r="V369" s="1130">
        <v>310555</v>
      </c>
      <c r="W369" s="99">
        <v>0</v>
      </c>
      <c r="X369" s="1130">
        <v>128484</v>
      </c>
      <c r="Y369" s="99">
        <v>0</v>
      </c>
      <c r="Z369" s="1130">
        <v>575518</v>
      </c>
      <c r="AA369" s="99">
        <v>0</v>
      </c>
      <c r="AB369" s="1130">
        <v>124813</v>
      </c>
      <c r="AC369" s="1130">
        <v>432535</v>
      </c>
      <c r="AD369" s="1130">
        <v>451477</v>
      </c>
      <c r="AE369" s="99">
        <v>0</v>
      </c>
      <c r="AF369" s="1130">
        <v>4344901</v>
      </c>
      <c r="AG369" s="99">
        <v>0</v>
      </c>
      <c r="AH369" s="1130">
        <v>371098</v>
      </c>
      <c r="AI369" s="99">
        <v>0</v>
      </c>
      <c r="AJ369" s="1130">
        <v>19529</v>
      </c>
      <c r="AK369" s="1129">
        <v>1842977</v>
      </c>
      <c r="AL369" s="1130">
        <v>315810</v>
      </c>
      <c r="AM369" s="1130">
        <v>349412</v>
      </c>
      <c r="AN369" s="99">
        <v>0</v>
      </c>
      <c r="AO369" s="1129">
        <v>6488</v>
      </c>
      <c r="AP369" s="99">
        <v>0</v>
      </c>
      <c r="AQ369" s="1130">
        <v>327427</v>
      </c>
      <c r="AR369" s="99">
        <v>0</v>
      </c>
      <c r="AS369" s="99">
        <v>0</v>
      </c>
      <c r="AT369" s="99">
        <v>0</v>
      </c>
      <c r="AU369" s="99">
        <v>0</v>
      </c>
      <c r="AV369" s="99">
        <v>0</v>
      </c>
      <c r="AW369" s="1130">
        <v>28256</v>
      </c>
      <c r="AX369" s="1130">
        <v>198173</v>
      </c>
      <c r="AY369" s="1130">
        <v>25412</v>
      </c>
      <c r="AZ369" s="99">
        <v>0</v>
      </c>
      <c r="BA369" s="1130">
        <v>210648</v>
      </c>
      <c r="BB369" s="1130">
        <v>166273</v>
      </c>
      <c r="BC369" s="99">
        <v>0</v>
      </c>
      <c r="BD369" s="1130">
        <v>137064</v>
      </c>
      <c r="BE369" s="1130">
        <v>114283</v>
      </c>
      <c r="BF369" s="1130">
        <v>-88287</v>
      </c>
      <c r="BG369" s="1130">
        <v>216550</v>
      </c>
      <c r="BH369" s="1130">
        <v>269387</v>
      </c>
      <c r="BI369" s="1129">
        <v>403361</v>
      </c>
      <c r="BJ369" s="99">
        <v>0</v>
      </c>
      <c r="BK369" s="99">
        <v>0</v>
      </c>
      <c r="BL369" s="99">
        <v>0</v>
      </c>
      <c r="BM369" s="1130">
        <v>358493</v>
      </c>
      <c r="BN369" s="1130">
        <v>753980</v>
      </c>
      <c r="BO369" s="99">
        <v>0</v>
      </c>
      <c r="BP369" s="99">
        <v>0</v>
      </c>
      <c r="BQ369" s="1130">
        <v>64199</v>
      </c>
      <c r="BR369" s="99">
        <v>0</v>
      </c>
      <c r="BS369" s="99">
        <v>0</v>
      </c>
      <c r="BT369" s="99">
        <v>0</v>
      </c>
      <c r="BU369" s="1130">
        <v>153348</v>
      </c>
      <c r="BV369" s="99">
        <v>0</v>
      </c>
      <c r="BW369" s="99">
        <v>0</v>
      </c>
      <c r="BX369" s="99">
        <v>0</v>
      </c>
      <c r="BY369" s="1130">
        <v>887988</v>
      </c>
      <c r="BZ369" s="1130">
        <v>2415</v>
      </c>
      <c r="CA369" s="99">
        <v>0</v>
      </c>
      <c r="CB369" s="1130">
        <v>717825</v>
      </c>
      <c r="CC369" s="99">
        <v>0</v>
      </c>
      <c r="CD369" s="1130">
        <v>3353656</v>
      </c>
      <c r="CE369" s="99">
        <v>520</v>
      </c>
      <c r="CF369" s="1130">
        <v>415355</v>
      </c>
      <c r="CG369" s="1130">
        <v>85755</v>
      </c>
      <c r="CH369" s="1130">
        <v>363668</v>
      </c>
      <c r="CI369" s="1130">
        <v>30736341</v>
      </c>
      <c r="CJ369" s="1130">
        <v>677821</v>
      </c>
      <c r="CK369" s="99">
        <v>0</v>
      </c>
      <c r="CL369" s="99">
        <v>0</v>
      </c>
      <c r="CM369" s="1130">
        <v>57658</v>
      </c>
      <c r="CN369" s="1130">
        <v>121778</v>
      </c>
      <c r="CO369" s="1130">
        <v>37336</v>
      </c>
      <c r="CP369" s="1130">
        <v>314659</v>
      </c>
      <c r="CQ369" s="99">
        <v>0</v>
      </c>
      <c r="CR369" s="99">
        <v>0</v>
      </c>
    </row>
    <row r="370" spans="1:96" x14ac:dyDescent="0.3">
      <c r="A370" s="99">
        <v>47</v>
      </c>
      <c r="B370" s="314">
        <v>47</v>
      </c>
      <c r="C370" s="99">
        <v>47</v>
      </c>
      <c r="D370" s="99" t="s">
        <v>629</v>
      </c>
      <c r="E370" s="99" t="s">
        <v>337</v>
      </c>
      <c r="F370" s="1129">
        <v>0</v>
      </c>
      <c r="G370" s="1129">
        <v>0</v>
      </c>
      <c r="H370" s="1129">
        <v>0</v>
      </c>
      <c r="I370" s="1129">
        <v>0</v>
      </c>
      <c r="J370" s="1130">
        <v>3774008</v>
      </c>
      <c r="K370" s="99">
        <v>0</v>
      </c>
      <c r="L370" s="1129">
        <v>40601172</v>
      </c>
      <c r="M370" s="1129">
        <v>0</v>
      </c>
      <c r="N370" s="1129">
        <v>0</v>
      </c>
      <c r="O370" s="99">
        <v>0</v>
      </c>
      <c r="P370" s="1129">
        <v>0</v>
      </c>
      <c r="Q370" s="1129">
        <v>0</v>
      </c>
      <c r="R370" s="1129">
        <v>0</v>
      </c>
      <c r="S370" s="1129">
        <v>0</v>
      </c>
      <c r="T370" s="99">
        <v>0</v>
      </c>
      <c r="U370" s="1129">
        <v>0</v>
      </c>
      <c r="V370" s="1129">
        <v>0</v>
      </c>
      <c r="W370" s="99">
        <v>0</v>
      </c>
      <c r="X370" s="1129">
        <v>0</v>
      </c>
      <c r="Y370" s="1129">
        <v>0</v>
      </c>
      <c r="Z370" s="99">
        <v>0</v>
      </c>
      <c r="AA370" s="99">
        <v>0</v>
      </c>
      <c r="AB370" s="1130">
        <v>15813136</v>
      </c>
      <c r="AC370" s="1129">
        <v>0</v>
      </c>
      <c r="AD370" s="1129">
        <v>0</v>
      </c>
      <c r="AE370" s="1129">
        <v>0</v>
      </c>
      <c r="AF370" s="1129">
        <v>0</v>
      </c>
      <c r="AG370" s="1129">
        <v>0</v>
      </c>
      <c r="AH370" s="99">
        <v>0</v>
      </c>
      <c r="AI370" s="1129">
        <v>0</v>
      </c>
      <c r="AJ370" s="1129">
        <v>0</v>
      </c>
      <c r="AK370" s="1129">
        <v>0</v>
      </c>
      <c r="AL370" s="99">
        <v>0</v>
      </c>
      <c r="AM370" s="99">
        <v>0</v>
      </c>
      <c r="AN370" s="1129">
        <v>0</v>
      </c>
      <c r="AO370" s="1129">
        <v>0</v>
      </c>
      <c r="AP370" s="1129">
        <v>0</v>
      </c>
      <c r="AQ370" s="1129">
        <v>0</v>
      </c>
      <c r="AR370" s="1129">
        <v>0</v>
      </c>
      <c r="AS370" s="1129">
        <v>0</v>
      </c>
      <c r="AT370" s="1129">
        <v>0</v>
      </c>
      <c r="AU370" s="1129">
        <v>0</v>
      </c>
      <c r="AV370" s="1129">
        <v>0</v>
      </c>
      <c r="AW370" s="99">
        <v>0</v>
      </c>
      <c r="AX370" s="1129">
        <v>0</v>
      </c>
      <c r="AY370" s="1129">
        <v>0</v>
      </c>
      <c r="AZ370" s="1129">
        <v>8750516</v>
      </c>
      <c r="BA370" s="1129">
        <v>0</v>
      </c>
      <c r="BB370" s="1129">
        <v>0</v>
      </c>
      <c r="BC370" s="1129">
        <v>0</v>
      </c>
      <c r="BD370" s="1129">
        <v>0</v>
      </c>
      <c r="BE370" s="1129">
        <v>0</v>
      </c>
      <c r="BF370" s="1129">
        <v>326636</v>
      </c>
      <c r="BG370" s="1129">
        <v>0</v>
      </c>
      <c r="BH370" s="1129">
        <v>0</v>
      </c>
      <c r="BI370" s="1129">
        <v>19727957</v>
      </c>
      <c r="BJ370" s="1129">
        <v>0</v>
      </c>
      <c r="BK370" s="1129">
        <v>0</v>
      </c>
      <c r="BL370" s="1129">
        <v>0</v>
      </c>
      <c r="BM370" s="1129">
        <v>2756706</v>
      </c>
      <c r="BN370" s="1129">
        <v>0</v>
      </c>
      <c r="BO370" s="1129">
        <v>0</v>
      </c>
      <c r="BP370" s="99">
        <v>0</v>
      </c>
      <c r="BQ370" s="1129">
        <v>0</v>
      </c>
      <c r="BR370" s="1129">
        <v>0</v>
      </c>
      <c r="BS370" s="1129">
        <v>0</v>
      </c>
      <c r="BT370" s="1129">
        <v>0</v>
      </c>
      <c r="BU370" s="99">
        <v>0</v>
      </c>
      <c r="BV370" s="99">
        <v>0</v>
      </c>
      <c r="BW370" s="99">
        <v>0</v>
      </c>
      <c r="BX370" s="99">
        <v>0</v>
      </c>
      <c r="BY370" s="99">
        <v>0</v>
      </c>
      <c r="BZ370" s="99">
        <v>0</v>
      </c>
      <c r="CA370" s="99">
        <v>0</v>
      </c>
      <c r="CB370" s="99">
        <v>0</v>
      </c>
      <c r="CC370" s="99">
        <v>0</v>
      </c>
      <c r="CD370" s="1130">
        <v>52723719</v>
      </c>
      <c r="CE370" s="99">
        <v>0</v>
      </c>
      <c r="CF370" s="1130">
        <v>4262956</v>
      </c>
      <c r="CG370" s="99">
        <v>0</v>
      </c>
      <c r="CH370" s="99">
        <v>0</v>
      </c>
      <c r="CI370" s="99">
        <v>0</v>
      </c>
      <c r="CJ370" s="1130">
        <v>7882372</v>
      </c>
      <c r="CK370" s="99">
        <v>0</v>
      </c>
      <c r="CL370" s="99">
        <v>0</v>
      </c>
      <c r="CM370" s="99">
        <v>0</v>
      </c>
      <c r="CN370" s="99">
        <v>0</v>
      </c>
      <c r="CO370" s="99">
        <v>0</v>
      </c>
      <c r="CP370" s="99">
        <v>0</v>
      </c>
      <c r="CQ370" s="99">
        <v>0</v>
      </c>
      <c r="CR370" s="99">
        <v>0</v>
      </c>
    </row>
    <row r="371" spans="1:96" x14ac:dyDescent="0.3">
      <c r="A371" s="99">
        <v>48</v>
      </c>
      <c r="B371" s="314">
        <v>48</v>
      </c>
      <c r="C371" s="99">
        <v>48</v>
      </c>
      <c r="D371" s="99" t="s">
        <v>123</v>
      </c>
      <c r="E371" s="99" t="s">
        <v>338</v>
      </c>
      <c r="F371" s="99">
        <v>0</v>
      </c>
      <c r="G371" s="99">
        <v>0</v>
      </c>
      <c r="H371" s="99">
        <v>0</v>
      </c>
      <c r="I371" s="99">
        <v>0</v>
      </c>
      <c r="J371" s="1130">
        <v>95703</v>
      </c>
      <c r="K371" s="99">
        <v>0</v>
      </c>
      <c r="L371" s="1130">
        <v>4161306</v>
      </c>
      <c r="M371" s="99">
        <v>0</v>
      </c>
      <c r="N371" s="99">
        <v>0</v>
      </c>
      <c r="O371" s="99">
        <v>0</v>
      </c>
      <c r="P371" s="99">
        <v>0</v>
      </c>
      <c r="Q371" s="99">
        <v>0</v>
      </c>
      <c r="R371" s="99">
        <v>0</v>
      </c>
      <c r="S371" s="99">
        <v>0</v>
      </c>
      <c r="T371" s="99">
        <v>0</v>
      </c>
      <c r="U371" s="99">
        <v>0</v>
      </c>
      <c r="V371" s="99">
        <v>0</v>
      </c>
      <c r="W371" s="99">
        <v>0</v>
      </c>
      <c r="X371" s="99">
        <v>0</v>
      </c>
      <c r="Y371" s="99">
        <v>0</v>
      </c>
      <c r="Z371" s="99">
        <v>0</v>
      </c>
      <c r="AA371" s="99">
        <v>0</v>
      </c>
      <c r="AB371" s="1130">
        <v>1463776</v>
      </c>
      <c r="AC371" s="99">
        <v>0</v>
      </c>
      <c r="AD371" s="99">
        <v>0</v>
      </c>
      <c r="AE371" s="99">
        <v>0</v>
      </c>
      <c r="AF371" s="99">
        <v>0</v>
      </c>
      <c r="AG371" s="99">
        <v>0</v>
      </c>
      <c r="AH371" s="99">
        <v>0</v>
      </c>
      <c r="AI371" s="99">
        <v>0</v>
      </c>
      <c r="AJ371" s="99">
        <v>0</v>
      </c>
      <c r="AK371" s="99">
        <v>0</v>
      </c>
      <c r="AL371" s="99">
        <v>0</v>
      </c>
      <c r="AM371" s="99">
        <v>0</v>
      </c>
      <c r="AN371" s="99">
        <v>0</v>
      </c>
      <c r="AO371" s="99">
        <v>0</v>
      </c>
      <c r="AP371" s="99">
        <v>0</v>
      </c>
      <c r="AQ371" s="99">
        <v>0</v>
      </c>
      <c r="AR371" s="99">
        <v>0</v>
      </c>
      <c r="AS371" s="99">
        <v>0</v>
      </c>
      <c r="AT371" s="99">
        <v>0</v>
      </c>
      <c r="AU371" s="99">
        <v>0</v>
      </c>
      <c r="AV371" s="99">
        <v>0</v>
      </c>
      <c r="AW371" s="99">
        <v>0</v>
      </c>
      <c r="AX371" s="99">
        <v>0</v>
      </c>
      <c r="AY371" s="99">
        <v>0</v>
      </c>
      <c r="AZ371" s="1130">
        <v>2639761</v>
      </c>
      <c r="BA371" s="99">
        <v>0</v>
      </c>
      <c r="BB371" s="99">
        <v>0</v>
      </c>
      <c r="BC371" s="99">
        <v>0</v>
      </c>
      <c r="BD371" s="99">
        <v>0</v>
      </c>
      <c r="BE371" s="99">
        <v>0</v>
      </c>
      <c r="BF371" s="1130">
        <v>12638</v>
      </c>
      <c r="BG371" s="99">
        <v>0</v>
      </c>
      <c r="BH371" s="99">
        <v>0</v>
      </c>
      <c r="BI371" s="1130">
        <v>2305645</v>
      </c>
      <c r="BJ371" s="99">
        <v>0</v>
      </c>
      <c r="BK371" s="99">
        <v>0</v>
      </c>
      <c r="BL371" s="99">
        <v>0</v>
      </c>
      <c r="BM371" s="1130">
        <v>843635</v>
      </c>
      <c r="BN371" s="99">
        <v>0</v>
      </c>
      <c r="BO371" s="99">
        <v>0</v>
      </c>
      <c r="BP371" s="99">
        <v>0</v>
      </c>
      <c r="BQ371" s="99">
        <v>0</v>
      </c>
      <c r="BR371" s="99">
        <v>0</v>
      </c>
      <c r="BS371" s="99">
        <v>0</v>
      </c>
      <c r="BT371" s="99">
        <v>0</v>
      </c>
      <c r="BU371" s="99">
        <v>0</v>
      </c>
      <c r="BV371" s="99">
        <v>0</v>
      </c>
      <c r="BW371" s="99">
        <v>0</v>
      </c>
      <c r="BX371" s="99">
        <v>0</v>
      </c>
      <c r="BY371" s="99">
        <v>0</v>
      </c>
      <c r="BZ371" s="99">
        <v>0</v>
      </c>
      <c r="CA371" s="99">
        <v>0</v>
      </c>
      <c r="CB371" s="99">
        <v>0</v>
      </c>
      <c r="CC371" s="99">
        <v>0</v>
      </c>
      <c r="CD371" s="1130">
        <v>9713176</v>
      </c>
      <c r="CE371" s="99">
        <v>0</v>
      </c>
      <c r="CF371" s="1130">
        <v>678158</v>
      </c>
      <c r="CG371" s="99">
        <v>0</v>
      </c>
      <c r="CH371" s="99">
        <v>0</v>
      </c>
      <c r="CI371" s="99">
        <v>0</v>
      </c>
      <c r="CJ371" s="1130">
        <v>473622</v>
      </c>
      <c r="CK371" s="99">
        <v>0</v>
      </c>
      <c r="CL371" s="99">
        <v>0</v>
      </c>
      <c r="CM371" s="99">
        <v>0</v>
      </c>
      <c r="CN371" s="99">
        <v>0</v>
      </c>
      <c r="CO371" s="99">
        <v>0</v>
      </c>
      <c r="CP371" s="99">
        <v>0</v>
      </c>
      <c r="CQ371" s="99">
        <v>0</v>
      </c>
      <c r="CR371" s="99">
        <v>0</v>
      </c>
    </row>
    <row r="372" spans="1:96" x14ac:dyDescent="0.3">
      <c r="A372" s="99">
        <v>336</v>
      </c>
      <c r="B372" s="314" t="s">
        <v>1791</v>
      </c>
      <c r="C372" s="99">
        <v>336</v>
      </c>
      <c r="D372" s="99" t="s">
        <v>636</v>
      </c>
      <c r="E372" s="99" t="s">
        <v>418</v>
      </c>
      <c r="F372" s="1130">
        <v>3381</v>
      </c>
      <c r="G372" s="1130">
        <v>741049</v>
      </c>
      <c r="H372" s="1130">
        <v>21472</v>
      </c>
      <c r="I372" s="1130">
        <v>357508</v>
      </c>
      <c r="J372" s="1130">
        <v>9877</v>
      </c>
      <c r="K372" s="1130">
        <v>17853</v>
      </c>
      <c r="L372" s="1130">
        <v>3184423</v>
      </c>
      <c r="M372" s="1130">
        <v>571197</v>
      </c>
      <c r="N372" s="1130">
        <v>12481</v>
      </c>
      <c r="O372" s="1130">
        <v>9106</v>
      </c>
      <c r="P372" s="1130">
        <v>104111</v>
      </c>
      <c r="Q372" s="99">
        <v>652</v>
      </c>
      <c r="R372" s="1130">
        <v>3058</v>
      </c>
      <c r="S372" s="1130">
        <v>283117</v>
      </c>
      <c r="T372" s="1130">
        <v>141866</v>
      </c>
      <c r="U372" s="1130">
        <v>594098</v>
      </c>
      <c r="V372" s="1130">
        <v>172387</v>
      </c>
      <c r="W372" s="1130">
        <v>717661</v>
      </c>
      <c r="X372" s="1130">
        <v>19431</v>
      </c>
      <c r="Y372" s="1130">
        <v>291155</v>
      </c>
      <c r="Z372" s="1130">
        <v>65750</v>
      </c>
      <c r="AA372" s="1130">
        <v>1772</v>
      </c>
      <c r="AB372" s="1130">
        <v>429092</v>
      </c>
      <c r="AC372" s="1130">
        <v>39718</v>
      </c>
      <c r="AD372" s="1130">
        <v>22700</v>
      </c>
      <c r="AE372" s="99">
        <v>0</v>
      </c>
      <c r="AF372" s="1130">
        <v>2399006</v>
      </c>
      <c r="AG372" s="1130">
        <v>23983</v>
      </c>
      <c r="AH372" s="1130">
        <v>297722</v>
      </c>
      <c r="AI372" s="1130">
        <v>22509</v>
      </c>
      <c r="AJ372" s="1130">
        <v>5403</v>
      </c>
      <c r="AK372" s="1130">
        <v>50918</v>
      </c>
      <c r="AL372" s="1130">
        <v>615388</v>
      </c>
      <c r="AM372" s="1130">
        <v>259744</v>
      </c>
      <c r="AN372" s="99">
        <v>0</v>
      </c>
      <c r="AO372" s="1130">
        <v>2907</v>
      </c>
      <c r="AP372" s="1130">
        <v>77353</v>
      </c>
      <c r="AQ372" s="1130">
        <v>204396</v>
      </c>
      <c r="AR372" s="99">
        <v>0</v>
      </c>
      <c r="AS372" s="1130">
        <v>6064</v>
      </c>
      <c r="AT372" s="99">
        <v>0</v>
      </c>
      <c r="AU372" s="1130">
        <v>50842</v>
      </c>
      <c r="AV372" s="99">
        <v>0</v>
      </c>
      <c r="AW372" s="1130">
        <v>12629</v>
      </c>
      <c r="AX372" s="1130">
        <v>272911</v>
      </c>
      <c r="AY372" s="1130">
        <v>9079</v>
      </c>
      <c r="AZ372" s="1130">
        <v>13804355</v>
      </c>
      <c r="BA372" s="1130">
        <v>88754</v>
      </c>
      <c r="BB372" s="1130">
        <v>1409131</v>
      </c>
      <c r="BC372" s="99">
        <v>0</v>
      </c>
      <c r="BD372" s="1130">
        <v>40113</v>
      </c>
      <c r="BE372" s="1130">
        <v>86317</v>
      </c>
      <c r="BF372" s="1130">
        <v>11240</v>
      </c>
      <c r="BG372" s="1130">
        <v>17515</v>
      </c>
      <c r="BH372" s="1130">
        <v>105303</v>
      </c>
      <c r="BI372" s="1130">
        <v>1242837</v>
      </c>
      <c r="BJ372" s="1130">
        <v>5218</v>
      </c>
      <c r="BK372" s="99">
        <v>0</v>
      </c>
      <c r="BL372" s="1130">
        <v>1059640</v>
      </c>
      <c r="BM372" s="1130">
        <v>1257834</v>
      </c>
      <c r="BN372" s="1130">
        <v>809813</v>
      </c>
      <c r="BO372" s="1130">
        <v>2596</v>
      </c>
      <c r="BP372" s="1130">
        <v>143593</v>
      </c>
      <c r="BQ372" s="1130">
        <v>70197</v>
      </c>
      <c r="BR372" s="1130">
        <v>843297</v>
      </c>
      <c r="BS372" s="1130">
        <v>139787</v>
      </c>
      <c r="BT372" s="1130">
        <v>47379</v>
      </c>
      <c r="BU372" s="1130">
        <v>200958</v>
      </c>
      <c r="BV372" s="1130">
        <v>402351</v>
      </c>
      <c r="BW372" s="99">
        <v>0</v>
      </c>
      <c r="BX372" s="99">
        <v>0</v>
      </c>
      <c r="BY372" s="1130">
        <v>851511</v>
      </c>
      <c r="BZ372" s="1130">
        <v>7458</v>
      </c>
      <c r="CA372" s="99">
        <v>0</v>
      </c>
      <c r="CB372" s="1130">
        <v>5168942</v>
      </c>
      <c r="CC372" s="1130">
        <v>26553177</v>
      </c>
      <c r="CD372" s="1130">
        <v>7494485</v>
      </c>
      <c r="CE372" s="1130">
        <v>35942</v>
      </c>
      <c r="CF372" s="1130">
        <v>371234</v>
      </c>
      <c r="CG372" s="1130">
        <v>43967</v>
      </c>
      <c r="CH372" s="1130">
        <v>145811</v>
      </c>
      <c r="CI372" s="1130">
        <v>51763730</v>
      </c>
      <c r="CJ372" s="1130">
        <v>4232136</v>
      </c>
      <c r="CK372" s="99">
        <v>0</v>
      </c>
      <c r="CL372" s="1130">
        <v>113449</v>
      </c>
      <c r="CM372" s="1130">
        <v>43544</v>
      </c>
      <c r="CN372" s="1130">
        <v>1213630</v>
      </c>
      <c r="CO372" s="1130">
        <v>111978</v>
      </c>
      <c r="CP372" s="1130">
        <v>119261</v>
      </c>
      <c r="CQ372" s="1130">
        <v>569898</v>
      </c>
      <c r="CR372" s="1130">
        <v>1505291</v>
      </c>
    </row>
    <row r="373" spans="1:96" x14ac:dyDescent="0.3">
      <c r="A373" s="99">
        <v>554</v>
      </c>
      <c r="B373" s="314">
        <v>554</v>
      </c>
      <c r="C373" s="99">
        <v>554</v>
      </c>
      <c r="D373" s="99" t="s">
        <v>577</v>
      </c>
      <c r="E373" s="99" t="s">
        <v>578</v>
      </c>
      <c r="F373" s="99">
        <v>0</v>
      </c>
      <c r="G373" s="99">
        <v>0</v>
      </c>
      <c r="H373" s="99">
        <v>0</v>
      </c>
      <c r="I373" s="1129">
        <v>1414939</v>
      </c>
      <c r="J373" s="99">
        <v>0</v>
      </c>
      <c r="K373" s="99">
        <v>0</v>
      </c>
      <c r="L373" s="1130">
        <v>1784820</v>
      </c>
      <c r="M373" s="99">
        <v>0</v>
      </c>
      <c r="N373" s="1129">
        <v>0</v>
      </c>
      <c r="O373" s="99">
        <v>0</v>
      </c>
      <c r="P373" s="1130">
        <v>1001268</v>
      </c>
      <c r="Q373" s="99">
        <v>0</v>
      </c>
      <c r="R373" s="1129">
        <v>0</v>
      </c>
      <c r="S373" s="1129">
        <v>0</v>
      </c>
      <c r="T373" s="99">
        <v>0</v>
      </c>
      <c r="U373" s="99">
        <v>0</v>
      </c>
      <c r="V373" s="1130">
        <v>1192749</v>
      </c>
      <c r="W373" s="99">
        <v>0</v>
      </c>
      <c r="X373" s="99">
        <v>0</v>
      </c>
      <c r="Y373" s="1130">
        <v>341465</v>
      </c>
      <c r="Z373" s="1129">
        <v>486430</v>
      </c>
      <c r="AA373" s="99">
        <v>0</v>
      </c>
      <c r="AB373" s="99">
        <v>0</v>
      </c>
      <c r="AC373" s="1129">
        <v>0</v>
      </c>
      <c r="AD373" s="1129">
        <v>0</v>
      </c>
      <c r="AE373" s="99">
        <v>0</v>
      </c>
      <c r="AF373" s="1130">
        <v>2116217</v>
      </c>
      <c r="AG373" s="99">
        <v>0</v>
      </c>
      <c r="AH373" s="1130">
        <v>8027974</v>
      </c>
      <c r="AI373" s="99">
        <v>0</v>
      </c>
      <c r="AJ373" s="1130">
        <v>92478</v>
      </c>
      <c r="AK373" s="99">
        <v>0</v>
      </c>
      <c r="AL373" s="99">
        <v>0</v>
      </c>
      <c r="AM373" s="99">
        <v>0</v>
      </c>
      <c r="AN373" s="99">
        <v>0</v>
      </c>
      <c r="AO373" s="99">
        <v>0</v>
      </c>
      <c r="AP373" s="99">
        <v>0</v>
      </c>
      <c r="AQ373" s="1129">
        <v>35936</v>
      </c>
      <c r="AR373" s="99">
        <v>0</v>
      </c>
      <c r="AS373" s="99">
        <v>0</v>
      </c>
      <c r="AT373" s="99">
        <v>0</v>
      </c>
      <c r="AU373" s="99">
        <v>0</v>
      </c>
      <c r="AV373" s="99">
        <v>0</v>
      </c>
      <c r="AW373" s="99">
        <v>0</v>
      </c>
      <c r="AX373" s="1130">
        <v>1002329</v>
      </c>
      <c r="AY373" s="1129">
        <v>0</v>
      </c>
      <c r="AZ373" s="1130">
        <v>2509225</v>
      </c>
      <c r="BA373" s="99">
        <v>0</v>
      </c>
      <c r="BB373" s="1130">
        <v>993464</v>
      </c>
      <c r="BC373" s="1129">
        <v>0</v>
      </c>
      <c r="BD373" s="99">
        <v>0</v>
      </c>
      <c r="BE373" s="99">
        <v>0</v>
      </c>
      <c r="BF373" s="99">
        <v>0</v>
      </c>
      <c r="BG373" s="1129">
        <v>1281578</v>
      </c>
      <c r="BH373" s="99">
        <v>0</v>
      </c>
      <c r="BI373" s="1130">
        <v>3295906</v>
      </c>
      <c r="BJ373" s="1129">
        <v>0</v>
      </c>
      <c r="BK373" s="99">
        <v>0</v>
      </c>
      <c r="BL373" s="99">
        <v>0</v>
      </c>
      <c r="BM373" s="99">
        <v>0</v>
      </c>
      <c r="BN373" s="1129">
        <v>0</v>
      </c>
      <c r="BO373" s="99">
        <v>0</v>
      </c>
      <c r="BP373" s="99">
        <v>0</v>
      </c>
      <c r="BQ373" s="99">
        <v>0</v>
      </c>
      <c r="BR373" s="1129">
        <v>0</v>
      </c>
      <c r="BS373" s="99">
        <v>0</v>
      </c>
      <c r="BT373" s="1129">
        <v>0</v>
      </c>
      <c r="BU373" s="1130">
        <v>886193</v>
      </c>
      <c r="BV373" s="99">
        <v>0</v>
      </c>
      <c r="BW373" s="99">
        <v>0</v>
      </c>
      <c r="BX373" s="99">
        <v>0</v>
      </c>
      <c r="BY373" s="1130">
        <v>1163744</v>
      </c>
      <c r="BZ373" s="99">
        <v>0</v>
      </c>
      <c r="CA373" s="99">
        <v>0</v>
      </c>
      <c r="CB373" s="99">
        <v>0</v>
      </c>
      <c r="CC373" s="1130">
        <v>15555872</v>
      </c>
      <c r="CD373" s="1130">
        <v>2664061</v>
      </c>
      <c r="CE373" s="1130">
        <v>3992640</v>
      </c>
      <c r="CF373" s="1130">
        <v>1483465</v>
      </c>
      <c r="CG373" s="99">
        <v>0</v>
      </c>
      <c r="CH373" s="99">
        <v>0</v>
      </c>
      <c r="CI373" s="1130">
        <v>22417224</v>
      </c>
      <c r="CJ373" s="1130">
        <v>811027</v>
      </c>
      <c r="CK373" s="99">
        <v>0</v>
      </c>
      <c r="CL373" s="99">
        <v>0</v>
      </c>
      <c r="CM373" s="99">
        <v>0</v>
      </c>
      <c r="CN373" s="99">
        <v>0</v>
      </c>
      <c r="CO373" s="99">
        <v>0</v>
      </c>
      <c r="CP373" s="1130">
        <v>1871935</v>
      </c>
      <c r="CQ373" s="99">
        <v>0</v>
      </c>
      <c r="CR373" s="99">
        <v>0</v>
      </c>
    </row>
    <row r="374" spans="1:96" x14ac:dyDescent="0.3">
      <c r="A374" s="99">
        <v>555</v>
      </c>
      <c r="B374" s="314">
        <v>555</v>
      </c>
      <c r="C374" s="99">
        <v>555</v>
      </c>
      <c r="D374" s="99" t="s">
        <v>579</v>
      </c>
      <c r="E374" s="99" t="s">
        <v>580</v>
      </c>
      <c r="F374" s="99">
        <v>0</v>
      </c>
      <c r="G374" s="99">
        <v>0</v>
      </c>
      <c r="H374" s="99">
        <v>0</v>
      </c>
      <c r="I374" s="1129">
        <v>1414939</v>
      </c>
      <c r="J374" s="99">
        <v>0</v>
      </c>
      <c r="K374" s="99">
        <v>0</v>
      </c>
      <c r="L374" s="1130">
        <v>962152</v>
      </c>
      <c r="M374" s="99">
        <v>0</v>
      </c>
      <c r="N374" s="1129">
        <v>0</v>
      </c>
      <c r="O374" s="99">
        <v>0</v>
      </c>
      <c r="P374" s="1130">
        <v>852442</v>
      </c>
      <c r="Q374" s="99">
        <v>0</v>
      </c>
      <c r="R374" s="99">
        <v>0</v>
      </c>
      <c r="S374" s="1129">
        <v>0</v>
      </c>
      <c r="T374" s="99">
        <v>0</v>
      </c>
      <c r="U374" s="99">
        <v>0</v>
      </c>
      <c r="V374" s="1130">
        <v>821470</v>
      </c>
      <c r="W374" s="99">
        <v>0</v>
      </c>
      <c r="X374" s="99">
        <v>0</v>
      </c>
      <c r="Y374" s="99">
        <v>0</v>
      </c>
      <c r="Z374" s="1129">
        <v>0</v>
      </c>
      <c r="AA374" s="99">
        <v>0</v>
      </c>
      <c r="AB374" s="99">
        <v>0</v>
      </c>
      <c r="AC374" s="1129">
        <v>0</v>
      </c>
      <c r="AD374" s="1129">
        <v>0</v>
      </c>
      <c r="AE374" s="99">
        <v>0</v>
      </c>
      <c r="AF374" s="1130">
        <v>1940388</v>
      </c>
      <c r="AG374" s="99">
        <v>0</v>
      </c>
      <c r="AH374" s="1130">
        <v>8027974</v>
      </c>
      <c r="AI374" s="99">
        <v>0</v>
      </c>
      <c r="AJ374" s="99">
        <v>0</v>
      </c>
      <c r="AK374" s="99">
        <v>0</v>
      </c>
      <c r="AL374" s="99">
        <v>0</v>
      </c>
      <c r="AM374" s="99">
        <v>0</v>
      </c>
      <c r="AN374" s="99">
        <v>0</v>
      </c>
      <c r="AO374" s="99">
        <v>0</v>
      </c>
      <c r="AP374" s="99">
        <v>0</v>
      </c>
      <c r="AQ374" s="1129">
        <v>0</v>
      </c>
      <c r="AR374" s="99">
        <v>0</v>
      </c>
      <c r="AS374" s="99">
        <v>0</v>
      </c>
      <c r="AT374" s="99">
        <v>0</v>
      </c>
      <c r="AU374" s="99">
        <v>0</v>
      </c>
      <c r="AV374" s="99">
        <v>0</v>
      </c>
      <c r="AW374" s="99">
        <v>0</v>
      </c>
      <c r="AX374" s="1130">
        <v>772727</v>
      </c>
      <c r="AY374" s="99">
        <v>0</v>
      </c>
      <c r="AZ374" s="1130">
        <v>2411688</v>
      </c>
      <c r="BA374" s="99">
        <v>0</v>
      </c>
      <c r="BB374" s="1130">
        <v>798658</v>
      </c>
      <c r="BC374" s="1129">
        <v>0</v>
      </c>
      <c r="BD374" s="99">
        <v>0</v>
      </c>
      <c r="BE374" s="99">
        <v>0</v>
      </c>
      <c r="BF374" s="99">
        <v>0</v>
      </c>
      <c r="BG374" s="1130">
        <v>1224585</v>
      </c>
      <c r="BH374" s="99">
        <v>0</v>
      </c>
      <c r="BI374" s="1130">
        <v>2407622</v>
      </c>
      <c r="BJ374" s="99">
        <v>0</v>
      </c>
      <c r="BK374" s="99">
        <v>0</v>
      </c>
      <c r="BL374" s="99">
        <v>0</v>
      </c>
      <c r="BM374" s="99">
        <v>0</v>
      </c>
      <c r="BN374" s="1129">
        <v>0</v>
      </c>
      <c r="BO374" s="99">
        <v>0</v>
      </c>
      <c r="BP374" s="99">
        <v>0</v>
      </c>
      <c r="BQ374" s="99">
        <v>0</v>
      </c>
      <c r="BR374" s="1129">
        <v>0</v>
      </c>
      <c r="BS374" s="99">
        <v>0</v>
      </c>
      <c r="BT374" s="1129">
        <v>0</v>
      </c>
      <c r="BU374" s="1130">
        <v>861879</v>
      </c>
      <c r="BV374" s="99">
        <v>0</v>
      </c>
      <c r="BW374" s="99">
        <v>0</v>
      </c>
      <c r="BX374" s="99">
        <v>0</v>
      </c>
      <c r="BY374" s="1130">
        <v>997069</v>
      </c>
      <c r="BZ374" s="99">
        <v>0</v>
      </c>
      <c r="CA374" s="99">
        <v>0</v>
      </c>
      <c r="CB374" s="99">
        <v>0</v>
      </c>
      <c r="CC374" s="1130">
        <v>13075612</v>
      </c>
      <c r="CD374" s="1130">
        <v>787158</v>
      </c>
      <c r="CE374" s="1130">
        <v>3992640</v>
      </c>
      <c r="CF374" s="1130">
        <v>1431639</v>
      </c>
      <c r="CG374" s="99">
        <v>0</v>
      </c>
      <c r="CH374" s="99">
        <v>0</v>
      </c>
      <c r="CI374" s="1130">
        <v>7558260</v>
      </c>
      <c r="CJ374" s="1130">
        <v>948240</v>
      </c>
      <c r="CK374" s="99">
        <v>0</v>
      </c>
      <c r="CL374" s="99">
        <v>0</v>
      </c>
      <c r="CM374" s="99">
        <v>0</v>
      </c>
      <c r="CN374" s="99">
        <v>0</v>
      </c>
      <c r="CO374" s="99">
        <v>0</v>
      </c>
      <c r="CP374" s="1130">
        <v>1677595</v>
      </c>
      <c r="CQ374" s="99">
        <v>0</v>
      </c>
      <c r="CR374" s="99">
        <v>0</v>
      </c>
    </row>
    <row r="375" spans="1:96" x14ac:dyDescent="0.3">
      <c r="A375" s="99">
        <v>556</v>
      </c>
      <c r="B375" s="314">
        <v>556</v>
      </c>
      <c r="C375" s="99">
        <v>556</v>
      </c>
      <c r="D375" s="99" t="s">
        <v>581</v>
      </c>
      <c r="E375" s="99" t="s">
        <v>582</v>
      </c>
      <c r="F375" s="99">
        <v>0</v>
      </c>
      <c r="G375" s="99">
        <v>0</v>
      </c>
      <c r="H375" s="99">
        <v>0</v>
      </c>
      <c r="I375" s="1129">
        <v>0</v>
      </c>
      <c r="J375" s="99">
        <v>0</v>
      </c>
      <c r="K375" s="99">
        <v>0</v>
      </c>
      <c r="L375" s="1130">
        <v>2991602</v>
      </c>
      <c r="M375" s="99">
        <v>0</v>
      </c>
      <c r="N375" s="1129">
        <v>0</v>
      </c>
      <c r="O375" s="99">
        <v>0</v>
      </c>
      <c r="P375" s="1130">
        <v>47726</v>
      </c>
      <c r="Q375" s="99">
        <v>0</v>
      </c>
      <c r="R375" s="1129">
        <v>0</v>
      </c>
      <c r="S375" s="1129">
        <v>0</v>
      </c>
      <c r="T375" s="99">
        <v>0</v>
      </c>
      <c r="U375" s="99">
        <v>0</v>
      </c>
      <c r="V375" s="1130">
        <v>1870692</v>
      </c>
      <c r="W375" s="99">
        <v>0</v>
      </c>
      <c r="X375" s="99">
        <v>0</v>
      </c>
      <c r="Y375" s="1130">
        <v>1038823</v>
      </c>
      <c r="Z375" s="1129">
        <v>818881</v>
      </c>
      <c r="AA375" s="99">
        <v>0</v>
      </c>
      <c r="AB375" s="99">
        <v>0</v>
      </c>
      <c r="AC375" s="99">
        <v>0</v>
      </c>
      <c r="AD375" s="1129">
        <v>0</v>
      </c>
      <c r="AE375" s="99">
        <v>0</v>
      </c>
      <c r="AF375" s="1130">
        <v>680080</v>
      </c>
      <c r="AG375" s="99">
        <v>0</v>
      </c>
      <c r="AH375" s="1130">
        <v>3733232</v>
      </c>
      <c r="AI375" s="99">
        <v>0</v>
      </c>
      <c r="AJ375" s="1130">
        <v>587443</v>
      </c>
      <c r="AK375" s="99">
        <v>0</v>
      </c>
      <c r="AL375" s="99">
        <v>0</v>
      </c>
      <c r="AM375" s="99">
        <v>0</v>
      </c>
      <c r="AN375" s="99">
        <v>0</v>
      </c>
      <c r="AO375" s="99">
        <v>0</v>
      </c>
      <c r="AP375" s="99">
        <v>0</v>
      </c>
      <c r="AQ375" s="1129">
        <v>2934421</v>
      </c>
      <c r="AR375" s="99">
        <v>0</v>
      </c>
      <c r="AS375" s="99">
        <v>0</v>
      </c>
      <c r="AT375" s="99">
        <v>0</v>
      </c>
      <c r="AU375" s="99">
        <v>0</v>
      </c>
      <c r="AV375" s="99">
        <v>0</v>
      </c>
      <c r="AW375" s="99">
        <v>0</v>
      </c>
      <c r="AX375" s="1130">
        <v>86109</v>
      </c>
      <c r="AY375" s="1129">
        <v>0</v>
      </c>
      <c r="AZ375" s="1130">
        <v>1524073</v>
      </c>
      <c r="BA375" s="99">
        <v>0</v>
      </c>
      <c r="BB375" s="1130">
        <v>467618</v>
      </c>
      <c r="BC375" s="1129">
        <v>0</v>
      </c>
      <c r="BD375" s="99">
        <v>0</v>
      </c>
      <c r="BE375" s="99">
        <v>0</v>
      </c>
      <c r="BF375" s="99">
        <v>0</v>
      </c>
      <c r="BG375" s="1129">
        <v>1170410</v>
      </c>
      <c r="BH375" s="99">
        <v>0</v>
      </c>
      <c r="BI375" s="1130">
        <v>3301562</v>
      </c>
      <c r="BJ375" s="1129">
        <v>0</v>
      </c>
      <c r="BK375" s="99">
        <v>0</v>
      </c>
      <c r="BL375" s="99">
        <v>0</v>
      </c>
      <c r="BM375" s="99">
        <v>0</v>
      </c>
      <c r="BN375" s="1129">
        <v>0</v>
      </c>
      <c r="BO375" s="99">
        <v>0</v>
      </c>
      <c r="BP375" s="99">
        <v>0</v>
      </c>
      <c r="BQ375" s="99">
        <v>0</v>
      </c>
      <c r="BR375" s="1129">
        <v>0</v>
      </c>
      <c r="BS375" s="99">
        <v>0</v>
      </c>
      <c r="BT375" s="1129">
        <v>0</v>
      </c>
      <c r="BU375" s="1130">
        <v>84591</v>
      </c>
      <c r="BV375" s="99">
        <v>0</v>
      </c>
      <c r="BW375" s="99">
        <v>0</v>
      </c>
      <c r="BX375" s="99">
        <v>0</v>
      </c>
      <c r="BY375" s="1130">
        <v>1028945</v>
      </c>
      <c r="BZ375" s="99">
        <v>0</v>
      </c>
      <c r="CA375" s="99">
        <v>0</v>
      </c>
      <c r="CB375" s="99">
        <v>0</v>
      </c>
      <c r="CC375" s="1130">
        <v>7277354</v>
      </c>
      <c r="CD375" s="1130">
        <v>1674205</v>
      </c>
      <c r="CE375" s="1130">
        <v>50788</v>
      </c>
      <c r="CF375" s="1130">
        <v>713678</v>
      </c>
      <c r="CG375" s="99">
        <v>0</v>
      </c>
      <c r="CH375" s="99">
        <v>0</v>
      </c>
      <c r="CI375" s="1130">
        <v>5606598</v>
      </c>
      <c r="CJ375" s="1130">
        <v>873796</v>
      </c>
      <c r="CK375" s="99">
        <v>0</v>
      </c>
      <c r="CL375" s="99">
        <v>0</v>
      </c>
      <c r="CM375" s="99">
        <v>0</v>
      </c>
      <c r="CN375" s="99">
        <v>0</v>
      </c>
      <c r="CO375" s="99">
        <v>0</v>
      </c>
      <c r="CP375" s="1130">
        <v>49873</v>
      </c>
      <c r="CQ375" s="99">
        <v>0</v>
      </c>
      <c r="CR375" s="99">
        <v>0</v>
      </c>
    </row>
    <row r="376" spans="1:96" x14ac:dyDescent="0.3">
      <c r="A376" s="99">
        <v>557</v>
      </c>
      <c r="B376" s="314">
        <v>557</v>
      </c>
      <c r="C376" s="99">
        <v>557</v>
      </c>
      <c r="D376" s="99" t="s">
        <v>583</v>
      </c>
      <c r="E376" s="99" t="s">
        <v>584</v>
      </c>
      <c r="F376" s="99">
        <v>0</v>
      </c>
      <c r="G376" s="99">
        <v>0</v>
      </c>
      <c r="H376" s="99">
        <v>0</v>
      </c>
      <c r="I376" s="1129">
        <v>0</v>
      </c>
      <c r="J376" s="99">
        <v>0</v>
      </c>
      <c r="K376" s="99">
        <v>0</v>
      </c>
      <c r="L376" s="1130">
        <v>2560272</v>
      </c>
      <c r="M376" s="99">
        <v>0</v>
      </c>
      <c r="N376" s="1129">
        <v>0</v>
      </c>
      <c r="O376" s="99">
        <v>0</v>
      </c>
      <c r="P376" s="99">
        <v>0</v>
      </c>
      <c r="Q376" s="99">
        <v>0</v>
      </c>
      <c r="R376" s="1129">
        <v>0</v>
      </c>
      <c r="S376" s="1129">
        <v>0</v>
      </c>
      <c r="T376" s="99">
        <v>0</v>
      </c>
      <c r="U376" s="99">
        <v>0</v>
      </c>
      <c r="V376" s="1130">
        <v>1666666</v>
      </c>
      <c r="W376" s="99">
        <v>0</v>
      </c>
      <c r="X376" s="99">
        <v>0</v>
      </c>
      <c r="Y376" s="1130">
        <v>1021600</v>
      </c>
      <c r="Z376" s="1129">
        <v>375852</v>
      </c>
      <c r="AA376" s="99">
        <v>0</v>
      </c>
      <c r="AB376" s="99">
        <v>0</v>
      </c>
      <c r="AC376" s="99">
        <v>0</v>
      </c>
      <c r="AD376" s="1129">
        <v>0</v>
      </c>
      <c r="AE376" s="99">
        <v>0</v>
      </c>
      <c r="AF376" s="1130">
        <v>662080</v>
      </c>
      <c r="AG376" s="99">
        <v>0</v>
      </c>
      <c r="AH376" s="1130">
        <v>3724650</v>
      </c>
      <c r="AI376" s="99">
        <v>0</v>
      </c>
      <c r="AJ376" s="1130">
        <v>259734</v>
      </c>
      <c r="AK376" s="99">
        <v>0</v>
      </c>
      <c r="AL376" s="99">
        <v>0</v>
      </c>
      <c r="AM376" s="99">
        <v>0</v>
      </c>
      <c r="AN376" s="99">
        <v>0</v>
      </c>
      <c r="AO376" s="99">
        <v>0</v>
      </c>
      <c r="AP376" s="99">
        <v>0</v>
      </c>
      <c r="AQ376" s="1130">
        <v>1987375</v>
      </c>
      <c r="AR376" s="99">
        <v>0</v>
      </c>
      <c r="AS376" s="99">
        <v>0</v>
      </c>
      <c r="AT376" s="99">
        <v>0</v>
      </c>
      <c r="AU376" s="99">
        <v>0</v>
      </c>
      <c r="AV376" s="99">
        <v>0</v>
      </c>
      <c r="AW376" s="99">
        <v>0</v>
      </c>
      <c r="AX376" s="99">
        <v>0</v>
      </c>
      <c r="AY376" s="1129">
        <v>0</v>
      </c>
      <c r="AZ376" s="1130">
        <v>923774</v>
      </c>
      <c r="BA376" s="99">
        <v>0</v>
      </c>
      <c r="BB376" s="99">
        <v>0</v>
      </c>
      <c r="BC376" s="1129">
        <v>0</v>
      </c>
      <c r="BD376" s="99">
        <v>0</v>
      </c>
      <c r="BE376" s="99">
        <v>0</v>
      </c>
      <c r="BF376" s="99">
        <v>0</v>
      </c>
      <c r="BG376" s="1129">
        <v>1043486</v>
      </c>
      <c r="BH376" s="99">
        <v>0</v>
      </c>
      <c r="BI376" s="1130">
        <v>2759753</v>
      </c>
      <c r="BJ376" s="1129">
        <v>0</v>
      </c>
      <c r="BK376" s="99">
        <v>0</v>
      </c>
      <c r="BL376" s="99">
        <v>0</v>
      </c>
      <c r="BM376" s="99">
        <v>0</v>
      </c>
      <c r="BN376" s="99">
        <v>0</v>
      </c>
      <c r="BO376" s="99">
        <v>0</v>
      </c>
      <c r="BP376" s="99">
        <v>0</v>
      </c>
      <c r="BQ376" s="99">
        <v>0</v>
      </c>
      <c r="BR376" s="1129">
        <v>0</v>
      </c>
      <c r="BS376" s="99">
        <v>0</v>
      </c>
      <c r="BT376" s="99">
        <v>0</v>
      </c>
      <c r="BU376" s="99">
        <v>0</v>
      </c>
      <c r="BV376" s="99">
        <v>0</v>
      </c>
      <c r="BW376" s="99">
        <v>0</v>
      </c>
      <c r="BX376" s="99">
        <v>0</v>
      </c>
      <c r="BY376" s="1130">
        <v>695093</v>
      </c>
      <c r="BZ376" s="99">
        <v>0</v>
      </c>
      <c r="CA376" s="99">
        <v>0</v>
      </c>
      <c r="CB376" s="99">
        <v>0</v>
      </c>
      <c r="CC376" s="1130">
        <v>3506967</v>
      </c>
      <c r="CD376" s="1130">
        <v>1325306</v>
      </c>
      <c r="CE376" s="99">
        <v>0</v>
      </c>
      <c r="CF376" s="1130">
        <v>477213</v>
      </c>
      <c r="CG376" s="99">
        <v>0</v>
      </c>
      <c r="CH376" s="99">
        <v>0</v>
      </c>
      <c r="CI376" s="1130">
        <v>3738178</v>
      </c>
      <c r="CJ376" s="1130">
        <v>1271919</v>
      </c>
      <c r="CK376" s="99">
        <v>0</v>
      </c>
      <c r="CL376" s="99">
        <v>0</v>
      </c>
      <c r="CM376" s="99">
        <v>0</v>
      </c>
      <c r="CN376" s="99">
        <v>0</v>
      </c>
      <c r="CO376" s="99">
        <v>0</v>
      </c>
      <c r="CP376" s="99">
        <v>0</v>
      </c>
      <c r="CQ376" s="99">
        <v>0</v>
      </c>
      <c r="CR376" s="99">
        <v>0</v>
      </c>
    </row>
    <row r="377" spans="1:96" x14ac:dyDescent="0.3">
      <c r="A377" s="99">
        <v>606</v>
      </c>
      <c r="B377" s="314" t="s">
        <v>1320</v>
      </c>
      <c r="C377" s="99">
        <v>606</v>
      </c>
      <c r="D377" s="99" t="s">
        <v>708</v>
      </c>
      <c r="F377" s="99">
        <v>0</v>
      </c>
      <c r="G377" s="99">
        <v>0</v>
      </c>
      <c r="H377" s="99">
        <v>0</v>
      </c>
      <c r="I377" s="99">
        <v>1</v>
      </c>
      <c r="J377" s="99">
        <v>0</v>
      </c>
      <c r="K377" s="99">
        <v>0</v>
      </c>
      <c r="L377" s="99">
        <v>1</v>
      </c>
      <c r="M377" s="99">
        <v>0</v>
      </c>
      <c r="N377" s="99">
        <v>0</v>
      </c>
      <c r="O377" s="99">
        <v>0</v>
      </c>
      <c r="P377" s="99">
        <v>1</v>
      </c>
      <c r="Q377" s="99">
        <v>0</v>
      </c>
      <c r="R377" s="99">
        <v>0</v>
      </c>
      <c r="S377" s="99">
        <v>0</v>
      </c>
      <c r="T377" s="99">
        <v>0</v>
      </c>
      <c r="U377" s="99">
        <v>0</v>
      </c>
      <c r="V377" s="99">
        <v>1</v>
      </c>
      <c r="W377" s="99">
        <v>0</v>
      </c>
      <c r="X377" s="99">
        <v>0</v>
      </c>
      <c r="Y377" s="99">
        <v>1</v>
      </c>
      <c r="Z377" s="99">
        <v>1</v>
      </c>
      <c r="AA377" s="99">
        <v>0</v>
      </c>
      <c r="AB377" s="99">
        <v>0</v>
      </c>
      <c r="AC377" s="99">
        <v>0</v>
      </c>
      <c r="AD377" s="99">
        <v>0</v>
      </c>
      <c r="AE377" s="99">
        <v>0</v>
      </c>
      <c r="AF377" s="99">
        <v>1</v>
      </c>
      <c r="AG377" s="99">
        <v>0</v>
      </c>
      <c r="AH377" s="99">
        <v>1</v>
      </c>
      <c r="AI377" s="99">
        <v>0</v>
      </c>
      <c r="AJ377" s="99">
        <v>1</v>
      </c>
      <c r="AK377" s="99">
        <v>0</v>
      </c>
      <c r="AL377" s="99">
        <v>0</v>
      </c>
      <c r="AM377" s="99">
        <v>0</v>
      </c>
      <c r="AN377" s="99">
        <v>0</v>
      </c>
      <c r="AO377" s="99">
        <v>0</v>
      </c>
      <c r="AP377" s="99">
        <v>0</v>
      </c>
      <c r="AQ377" s="99">
        <v>1</v>
      </c>
      <c r="AR377" s="99">
        <v>0</v>
      </c>
      <c r="AS377" s="99">
        <v>0</v>
      </c>
      <c r="AT377" s="99">
        <v>0</v>
      </c>
      <c r="AU377" s="99">
        <v>0</v>
      </c>
      <c r="AV377" s="99">
        <v>0</v>
      </c>
      <c r="AW377" s="99">
        <v>0</v>
      </c>
      <c r="AX377" s="99">
        <v>1</v>
      </c>
      <c r="AY377" s="99">
        <v>0</v>
      </c>
      <c r="AZ377" s="99">
        <v>1</v>
      </c>
      <c r="BA377" s="99">
        <v>0</v>
      </c>
      <c r="BB377" s="99">
        <v>1</v>
      </c>
      <c r="BC377" s="99">
        <v>0</v>
      </c>
      <c r="BD377" s="99">
        <v>0</v>
      </c>
      <c r="BE377" s="99">
        <v>0</v>
      </c>
      <c r="BF377" s="99">
        <v>0</v>
      </c>
      <c r="BG377" s="99">
        <v>1</v>
      </c>
      <c r="BH377" s="99">
        <v>0</v>
      </c>
      <c r="BI377" s="99">
        <v>1</v>
      </c>
      <c r="BJ377" s="99">
        <v>0</v>
      </c>
      <c r="BK377" s="99">
        <v>0</v>
      </c>
      <c r="BL377" s="99">
        <v>0</v>
      </c>
      <c r="BM377" s="99">
        <v>0</v>
      </c>
      <c r="BN377" s="99">
        <v>0</v>
      </c>
      <c r="BO377" s="99">
        <v>0</v>
      </c>
      <c r="BP377" s="99">
        <v>0</v>
      </c>
      <c r="BQ377" s="99">
        <v>0</v>
      </c>
      <c r="BR377" s="99">
        <v>0</v>
      </c>
      <c r="BS377" s="99">
        <v>0</v>
      </c>
      <c r="BT377" s="99">
        <v>0</v>
      </c>
      <c r="BU377" s="99">
        <v>1</v>
      </c>
      <c r="BV377" s="99">
        <v>0</v>
      </c>
      <c r="BW377" s="99">
        <v>0</v>
      </c>
      <c r="BX377" s="99">
        <v>0</v>
      </c>
      <c r="BY377" s="99">
        <v>1</v>
      </c>
      <c r="BZ377" s="99">
        <v>0</v>
      </c>
      <c r="CA377" s="99">
        <v>0</v>
      </c>
      <c r="CB377" s="99">
        <v>0</v>
      </c>
      <c r="CC377" s="99">
        <v>1</v>
      </c>
      <c r="CD377" s="99">
        <v>1</v>
      </c>
      <c r="CE377" s="99">
        <v>1</v>
      </c>
      <c r="CF377" s="99">
        <v>1</v>
      </c>
      <c r="CG377" s="99">
        <v>0</v>
      </c>
      <c r="CH377" s="99">
        <v>0</v>
      </c>
      <c r="CI377" s="99">
        <v>1</v>
      </c>
      <c r="CJ377" s="99">
        <v>1</v>
      </c>
      <c r="CK377" s="99">
        <v>0</v>
      </c>
      <c r="CL377" s="99">
        <v>0</v>
      </c>
      <c r="CM377" s="99">
        <v>0</v>
      </c>
      <c r="CN377" s="99">
        <v>0</v>
      </c>
      <c r="CO377" s="99">
        <v>0</v>
      </c>
      <c r="CP377" s="99">
        <v>1</v>
      </c>
      <c r="CQ377" s="99">
        <v>0</v>
      </c>
      <c r="CR377" s="99">
        <v>0</v>
      </c>
    </row>
    <row r="378" spans="1:96" x14ac:dyDescent="0.3">
      <c r="A378" s="99">
        <v>662</v>
      </c>
      <c r="B378" s="314">
        <v>662</v>
      </c>
      <c r="C378" s="99">
        <v>662</v>
      </c>
      <c r="D378" s="99" t="s">
        <v>850</v>
      </c>
      <c r="F378" s="99">
        <v>0</v>
      </c>
      <c r="G378" s="99">
        <v>0</v>
      </c>
      <c r="H378" s="99">
        <v>0</v>
      </c>
      <c r="I378" s="99">
        <v>0</v>
      </c>
      <c r="J378" s="99">
        <v>0</v>
      </c>
      <c r="K378" s="99">
        <v>0</v>
      </c>
      <c r="L378" s="99">
        <v>73986</v>
      </c>
      <c r="M378" s="99">
        <v>0</v>
      </c>
      <c r="N378" s="1130">
        <v>0</v>
      </c>
      <c r="O378" s="99">
        <v>0</v>
      </c>
      <c r="P378" s="99">
        <v>0</v>
      </c>
      <c r="Q378" s="99">
        <v>0</v>
      </c>
      <c r="R378" s="1130">
        <v>0</v>
      </c>
      <c r="S378" s="1130">
        <v>0</v>
      </c>
      <c r="T378" s="99">
        <v>0</v>
      </c>
      <c r="U378" s="99">
        <v>0</v>
      </c>
      <c r="V378" s="99">
        <v>0</v>
      </c>
      <c r="W378" s="99">
        <v>0</v>
      </c>
      <c r="X378" s="99">
        <v>0</v>
      </c>
      <c r="Y378" s="99">
        <v>316157</v>
      </c>
      <c r="Z378" s="99">
        <v>0</v>
      </c>
      <c r="AA378" s="99">
        <v>0</v>
      </c>
      <c r="AB378" s="99">
        <v>0</v>
      </c>
      <c r="AC378" s="99">
        <v>0</v>
      </c>
      <c r="AD378" s="99">
        <v>0</v>
      </c>
      <c r="AE378" s="99">
        <v>0</v>
      </c>
      <c r="AF378" s="99">
        <v>25080</v>
      </c>
      <c r="AG378" s="99">
        <v>0</v>
      </c>
      <c r="AH378" s="99">
        <v>0</v>
      </c>
      <c r="AI378" s="99">
        <v>0</v>
      </c>
      <c r="AJ378" s="99">
        <v>0</v>
      </c>
      <c r="AK378" s="99">
        <v>0</v>
      </c>
      <c r="AL378" s="99">
        <v>0</v>
      </c>
      <c r="AM378" s="99">
        <v>0</v>
      </c>
      <c r="AN378" s="99">
        <v>0</v>
      </c>
      <c r="AO378" s="99">
        <v>0</v>
      </c>
      <c r="AP378" s="99">
        <v>0</v>
      </c>
      <c r="AQ378" s="99">
        <v>0</v>
      </c>
      <c r="AR378" s="99">
        <v>0</v>
      </c>
      <c r="AS378" s="99">
        <v>0</v>
      </c>
      <c r="AT378" s="99">
        <v>0</v>
      </c>
      <c r="AU378" s="99">
        <v>0</v>
      </c>
      <c r="AV378" s="99">
        <v>0</v>
      </c>
      <c r="AW378" s="99">
        <v>0</v>
      </c>
      <c r="AX378" s="99">
        <v>0</v>
      </c>
      <c r="AY378" s="99">
        <v>0</v>
      </c>
      <c r="AZ378" s="99">
        <v>0</v>
      </c>
      <c r="BA378" s="99">
        <v>0</v>
      </c>
      <c r="BB378" s="99">
        <v>0</v>
      </c>
      <c r="BC378" s="1130">
        <v>0</v>
      </c>
      <c r="BD378" s="99">
        <v>0</v>
      </c>
      <c r="BE378" s="99">
        <v>0</v>
      </c>
      <c r="BF378" s="99">
        <v>0</v>
      </c>
      <c r="BG378" s="99">
        <v>56993</v>
      </c>
      <c r="BH378" s="99">
        <v>0</v>
      </c>
      <c r="BI378" s="99">
        <v>0</v>
      </c>
      <c r="BJ378" s="1130">
        <v>0</v>
      </c>
      <c r="BK378" s="99">
        <v>0</v>
      </c>
      <c r="BL378" s="99">
        <v>0</v>
      </c>
      <c r="BM378" s="99">
        <v>0</v>
      </c>
      <c r="BN378" s="99">
        <v>0</v>
      </c>
      <c r="BO378" s="99">
        <v>0</v>
      </c>
      <c r="BP378" s="99">
        <v>0</v>
      </c>
      <c r="BQ378" s="99">
        <v>0</v>
      </c>
      <c r="BR378" s="99">
        <v>0</v>
      </c>
      <c r="BS378" s="99">
        <v>0</v>
      </c>
      <c r="BT378" s="99">
        <v>0</v>
      </c>
      <c r="BU378" s="99">
        <v>0</v>
      </c>
      <c r="BV378" s="99">
        <v>0</v>
      </c>
      <c r="BW378" s="99">
        <v>0</v>
      </c>
      <c r="BX378" s="99">
        <v>0</v>
      </c>
      <c r="BY378" s="99">
        <v>36399</v>
      </c>
      <c r="BZ378" s="99">
        <v>0</v>
      </c>
      <c r="CA378" s="99">
        <v>0</v>
      </c>
      <c r="CB378" s="99">
        <v>0</v>
      </c>
      <c r="CC378" s="99">
        <v>331719</v>
      </c>
      <c r="CD378" s="99">
        <v>250000</v>
      </c>
      <c r="CE378" s="99">
        <v>0</v>
      </c>
      <c r="CF378" s="99">
        <v>12264</v>
      </c>
      <c r="CG378" s="99">
        <v>0</v>
      </c>
      <c r="CH378" s="99">
        <v>0</v>
      </c>
      <c r="CI378" s="99">
        <v>146465</v>
      </c>
      <c r="CJ378" s="99">
        <v>0</v>
      </c>
      <c r="CK378" s="99">
        <v>0</v>
      </c>
      <c r="CL378" s="99">
        <v>0</v>
      </c>
      <c r="CM378" s="99">
        <v>0</v>
      </c>
      <c r="CN378" s="99">
        <v>0</v>
      </c>
      <c r="CO378" s="99">
        <v>0</v>
      </c>
      <c r="CP378" s="99">
        <v>0</v>
      </c>
      <c r="CQ378" s="99">
        <v>0</v>
      </c>
      <c r="CR378" s="99">
        <v>0</v>
      </c>
    </row>
    <row r="379" spans="1:96" x14ac:dyDescent="0.3">
      <c r="A379" s="99">
        <v>663</v>
      </c>
      <c r="B379" s="314">
        <v>663</v>
      </c>
      <c r="C379" s="99">
        <v>663</v>
      </c>
      <c r="D379" s="99" t="s">
        <v>851</v>
      </c>
      <c r="F379" s="99">
        <v>0</v>
      </c>
      <c r="G379" s="99">
        <v>0</v>
      </c>
      <c r="H379" s="99">
        <v>0</v>
      </c>
      <c r="I379" s="1130">
        <v>0</v>
      </c>
      <c r="J379" s="99">
        <v>0</v>
      </c>
      <c r="K379" s="99">
        <v>0</v>
      </c>
      <c r="L379" s="99">
        <v>0</v>
      </c>
      <c r="M379" s="99">
        <v>0</v>
      </c>
      <c r="N379" s="99">
        <v>0</v>
      </c>
      <c r="O379" s="99">
        <v>0</v>
      </c>
      <c r="P379" s="99">
        <v>0</v>
      </c>
      <c r="Q379" s="99">
        <v>0</v>
      </c>
      <c r="R379" s="99">
        <v>0</v>
      </c>
      <c r="S379" s="99">
        <v>0</v>
      </c>
      <c r="T379" s="99">
        <v>0</v>
      </c>
      <c r="U379" s="99">
        <v>0</v>
      </c>
      <c r="V379" s="99">
        <v>0</v>
      </c>
      <c r="W379" s="99">
        <v>0</v>
      </c>
      <c r="X379" s="99">
        <v>0</v>
      </c>
      <c r="Y379" s="99">
        <v>0</v>
      </c>
      <c r="Z379" s="99">
        <v>0</v>
      </c>
      <c r="AA379" s="99">
        <v>0</v>
      </c>
      <c r="AB379" s="99">
        <v>0</v>
      </c>
      <c r="AC379" s="99">
        <v>0</v>
      </c>
      <c r="AD379" s="99">
        <v>0</v>
      </c>
      <c r="AE379" s="99">
        <v>0</v>
      </c>
      <c r="AF379" s="99">
        <v>0</v>
      </c>
      <c r="AG379" s="99">
        <v>0</v>
      </c>
      <c r="AH379" s="99">
        <v>0</v>
      </c>
      <c r="AI379" s="99">
        <v>0</v>
      </c>
      <c r="AJ379" s="99">
        <v>0</v>
      </c>
      <c r="AK379" s="99">
        <v>0</v>
      </c>
      <c r="AL379" s="99">
        <v>0</v>
      </c>
      <c r="AM379" s="99">
        <v>0</v>
      </c>
      <c r="AN379" s="99">
        <v>0</v>
      </c>
      <c r="AO379" s="99">
        <v>0</v>
      </c>
      <c r="AP379" s="99">
        <v>0</v>
      </c>
      <c r="AQ379" s="99">
        <v>0</v>
      </c>
      <c r="AR379" s="99">
        <v>0</v>
      </c>
      <c r="AS379" s="99">
        <v>0</v>
      </c>
      <c r="AT379" s="99">
        <v>0</v>
      </c>
      <c r="AU379" s="99">
        <v>0</v>
      </c>
      <c r="AV379" s="99">
        <v>0</v>
      </c>
      <c r="AW379" s="99">
        <v>0</v>
      </c>
      <c r="AX379" s="99">
        <v>0</v>
      </c>
      <c r="AY379" s="99">
        <v>0</v>
      </c>
      <c r="AZ379" s="99">
        <v>0</v>
      </c>
      <c r="BA379" s="99">
        <v>0</v>
      </c>
      <c r="BB379" s="99">
        <v>0</v>
      </c>
      <c r="BC379" s="99">
        <v>0</v>
      </c>
      <c r="BD379" s="99">
        <v>0</v>
      </c>
      <c r="BE379" s="99">
        <v>0</v>
      </c>
      <c r="BF379" s="99">
        <v>0</v>
      </c>
      <c r="BG379" s="99">
        <v>0</v>
      </c>
      <c r="BH379" s="99">
        <v>0</v>
      </c>
      <c r="BI379" s="99">
        <v>45780</v>
      </c>
      <c r="BJ379" s="99">
        <v>0</v>
      </c>
      <c r="BK379" s="99">
        <v>0</v>
      </c>
      <c r="BL379" s="99">
        <v>0</v>
      </c>
      <c r="BM379" s="99">
        <v>0</v>
      </c>
      <c r="BN379" s="99">
        <v>0</v>
      </c>
      <c r="BO379" s="99">
        <v>0</v>
      </c>
      <c r="BP379" s="99">
        <v>0</v>
      </c>
      <c r="BQ379" s="99">
        <v>0</v>
      </c>
      <c r="BR379" s="99">
        <v>0</v>
      </c>
      <c r="BS379" s="99">
        <v>0</v>
      </c>
      <c r="BT379" s="99">
        <v>0</v>
      </c>
      <c r="BU379" s="99">
        <v>0</v>
      </c>
      <c r="BV379" s="99">
        <v>0</v>
      </c>
      <c r="BW379" s="99">
        <v>0</v>
      </c>
      <c r="BX379" s="99">
        <v>0</v>
      </c>
      <c r="BY379" s="99">
        <v>0</v>
      </c>
      <c r="BZ379" s="99">
        <v>0</v>
      </c>
      <c r="CA379" s="99">
        <v>0</v>
      </c>
      <c r="CB379" s="99">
        <v>0</v>
      </c>
      <c r="CC379" s="99">
        <v>0</v>
      </c>
      <c r="CD379" s="99">
        <v>524599</v>
      </c>
      <c r="CE379" s="99">
        <v>0</v>
      </c>
      <c r="CF379" s="99">
        <v>0</v>
      </c>
      <c r="CG379" s="99">
        <v>0</v>
      </c>
      <c r="CH379" s="99">
        <v>0</v>
      </c>
      <c r="CI379" s="99">
        <v>0</v>
      </c>
      <c r="CJ379" s="99">
        <v>0</v>
      </c>
      <c r="CK379" s="99">
        <v>0</v>
      </c>
      <c r="CL379" s="99">
        <v>0</v>
      </c>
      <c r="CM379" s="99">
        <v>0</v>
      </c>
      <c r="CN379" s="99">
        <v>0</v>
      </c>
      <c r="CO379" s="99">
        <v>0</v>
      </c>
      <c r="CP379" s="99">
        <v>0</v>
      </c>
      <c r="CQ379" s="99">
        <v>0</v>
      </c>
      <c r="CR379" s="99">
        <v>0</v>
      </c>
    </row>
    <row r="380" spans="1:96" x14ac:dyDescent="0.3">
      <c r="A380" s="99">
        <v>537</v>
      </c>
      <c r="B380" s="314">
        <v>537</v>
      </c>
      <c r="C380" s="99">
        <v>537</v>
      </c>
      <c r="D380" s="99" t="s">
        <v>1772</v>
      </c>
      <c r="E380" s="99" t="s">
        <v>503</v>
      </c>
      <c r="F380" s="99">
        <v>2</v>
      </c>
      <c r="G380" s="99">
        <v>2</v>
      </c>
      <c r="H380" s="99">
        <v>2</v>
      </c>
      <c r="I380" s="99">
        <v>2</v>
      </c>
      <c r="J380" s="99">
        <v>1</v>
      </c>
      <c r="K380" s="99">
        <v>1</v>
      </c>
      <c r="L380" s="99">
        <v>2</v>
      </c>
      <c r="M380" s="99">
        <v>2</v>
      </c>
      <c r="N380" s="99">
        <v>2</v>
      </c>
      <c r="O380" s="99">
        <v>2</v>
      </c>
      <c r="P380" s="99">
        <v>2</v>
      </c>
      <c r="Q380" s="99">
        <v>2</v>
      </c>
      <c r="R380" s="99">
        <v>2</v>
      </c>
      <c r="S380" s="99">
        <v>2</v>
      </c>
      <c r="T380" s="99">
        <v>2</v>
      </c>
      <c r="U380" s="99">
        <v>2</v>
      </c>
      <c r="V380" s="99">
        <v>2</v>
      </c>
      <c r="W380" s="99">
        <v>2</v>
      </c>
      <c r="X380" s="99">
        <v>2</v>
      </c>
      <c r="Y380" s="99">
        <v>2</v>
      </c>
      <c r="Z380" s="99">
        <v>2</v>
      </c>
      <c r="AA380" s="99">
        <v>2</v>
      </c>
      <c r="AB380" s="99">
        <v>2</v>
      </c>
      <c r="AC380" s="99">
        <v>2</v>
      </c>
      <c r="AD380" s="99">
        <v>1</v>
      </c>
      <c r="AE380" s="99">
        <v>2</v>
      </c>
      <c r="AF380" s="99">
        <v>1</v>
      </c>
      <c r="AG380" s="99">
        <v>2</v>
      </c>
      <c r="AH380" s="99">
        <v>2</v>
      </c>
      <c r="AI380" s="99">
        <v>2</v>
      </c>
      <c r="AJ380" s="99">
        <v>2</v>
      </c>
      <c r="AK380" s="99">
        <v>2</v>
      </c>
      <c r="AL380" s="99">
        <v>2</v>
      </c>
      <c r="AM380" s="99">
        <v>2</v>
      </c>
      <c r="AN380" s="99">
        <v>2</v>
      </c>
      <c r="AO380" s="99">
        <v>2</v>
      </c>
      <c r="AP380" s="99">
        <v>2</v>
      </c>
      <c r="AQ380" s="99">
        <v>1</v>
      </c>
      <c r="AR380" s="99">
        <v>0</v>
      </c>
      <c r="AS380" s="99">
        <v>2</v>
      </c>
      <c r="AT380" s="99">
        <v>2</v>
      </c>
      <c r="AU380" s="99">
        <v>2</v>
      </c>
      <c r="AV380" s="99">
        <v>2</v>
      </c>
      <c r="AW380" s="99">
        <v>2</v>
      </c>
      <c r="AX380" s="99">
        <v>2</v>
      </c>
      <c r="AY380" s="99">
        <v>2</v>
      </c>
      <c r="AZ380" s="99">
        <v>2</v>
      </c>
      <c r="BA380" s="99">
        <v>2</v>
      </c>
      <c r="BB380" s="99">
        <v>2</v>
      </c>
      <c r="BC380" s="99">
        <v>2</v>
      </c>
      <c r="BD380" s="99">
        <v>2</v>
      </c>
      <c r="BE380" s="99">
        <v>1</v>
      </c>
      <c r="BF380" s="99">
        <v>2</v>
      </c>
      <c r="BG380" s="99">
        <v>2</v>
      </c>
      <c r="BH380" s="99">
        <v>2</v>
      </c>
      <c r="BI380" s="99">
        <v>1</v>
      </c>
      <c r="BJ380" s="99">
        <v>2</v>
      </c>
      <c r="BK380" s="99">
        <v>2</v>
      </c>
      <c r="BL380" s="99">
        <v>2</v>
      </c>
      <c r="BM380" s="99">
        <v>1</v>
      </c>
      <c r="BN380" s="99">
        <v>1</v>
      </c>
      <c r="BO380" s="99">
        <v>2</v>
      </c>
      <c r="BP380" s="99">
        <v>2</v>
      </c>
      <c r="BQ380" s="99">
        <v>2</v>
      </c>
      <c r="BR380" s="99">
        <v>2</v>
      </c>
      <c r="BS380" s="99">
        <v>2</v>
      </c>
      <c r="BT380" s="99">
        <v>2</v>
      </c>
      <c r="BU380" s="99">
        <v>2</v>
      </c>
      <c r="BV380" s="99">
        <v>2</v>
      </c>
      <c r="BW380" s="99">
        <v>0</v>
      </c>
      <c r="BX380" s="99">
        <v>1</v>
      </c>
      <c r="BY380" s="99">
        <v>2</v>
      </c>
      <c r="BZ380" s="99">
        <v>2</v>
      </c>
      <c r="CA380" s="99">
        <v>0</v>
      </c>
      <c r="CB380" s="99">
        <v>2</v>
      </c>
      <c r="CC380" s="99">
        <v>2</v>
      </c>
      <c r="CD380" s="99">
        <v>1</v>
      </c>
      <c r="CE380" s="99">
        <v>2</v>
      </c>
      <c r="CF380" s="99">
        <v>1</v>
      </c>
      <c r="CG380" s="99">
        <v>2</v>
      </c>
      <c r="CH380" s="99">
        <v>1</v>
      </c>
      <c r="CI380" s="99">
        <v>1</v>
      </c>
      <c r="CJ380" s="99">
        <v>2</v>
      </c>
      <c r="CK380" s="99">
        <v>2</v>
      </c>
      <c r="CL380" s="99">
        <v>2</v>
      </c>
      <c r="CM380" s="99">
        <v>2</v>
      </c>
      <c r="CN380" s="99">
        <v>2</v>
      </c>
      <c r="CO380" s="99">
        <v>2</v>
      </c>
      <c r="CP380" s="99">
        <v>2</v>
      </c>
      <c r="CQ380" s="99">
        <v>2</v>
      </c>
      <c r="CR380" s="99">
        <v>2</v>
      </c>
    </row>
    <row r="381" spans="1:96" x14ac:dyDescent="0.3">
      <c r="A381" s="99">
        <v>538</v>
      </c>
      <c r="B381" s="314">
        <v>538</v>
      </c>
      <c r="C381" s="99">
        <v>538</v>
      </c>
      <c r="D381" s="99" t="s">
        <v>1773</v>
      </c>
      <c r="E381" s="99" t="s">
        <v>504</v>
      </c>
      <c r="F381" s="99">
        <v>2</v>
      </c>
      <c r="G381" s="99">
        <v>2</v>
      </c>
      <c r="H381" s="99">
        <v>2</v>
      </c>
      <c r="I381" s="99">
        <v>2</v>
      </c>
      <c r="J381" s="99">
        <v>1</v>
      </c>
      <c r="K381" s="99">
        <v>2</v>
      </c>
      <c r="L381" s="99">
        <v>2</v>
      </c>
      <c r="M381" s="99">
        <v>2</v>
      </c>
      <c r="N381" s="99">
        <v>2</v>
      </c>
      <c r="O381" s="99">
        <v>2</v>
      </c>
      <c r="P381" s="99">
        <v>2</v>
      </c>
      <c r="Q381" s="99">
        <v>2</v>
      </c>
      <c r="R381" s="99">
        <v>1</v>
      </c>
      <c r="S381" s="99">
        <v>2</v>
      </c>
      <c r="T381" s="99">
        <v>2</v>
      </c>
      <c r="U381" s="99">
        <v>2</v>
      </c>
      <c r="V381" s="99">
        <v>2</v>
      </c>
      <c r="W381" s="99">
        <v>2</v>
      </c>
      <c r="X381" s="99">
        <v>2</v>
      </c>
      <c r="Y381" s="99">
        <v>2</v>
      </c>
      <c r="Z381" s="99">
        <v>2</v>
      </c>
      <c r="AA381" s="99">
        <v>2</v>
      </c>
      <c r="AB381" s="99">
        <v>2</v>
      </c>
      <c r="AC381" s="99">
        <v>2</v>
      </c>
      <c r="AD381" s="99">
        <v>1</v>
      </c>
      <c r="AE381" s="99">
        <v>2</v>
      </c>
      <c r="AF381" s="99">
        <v>1</v>
      </c>
      <c r="AG381" s="99">
        <v>2</v>
      </c>
      <c r="AH381" s="99">
        <v>2</v>
      </c>
      <c r="AI381" s="99">
        <v>2</v>
      </c>
      <c r="AJ381" s="99">
        <v>2</v>
      </c>
      <c r="AK381" s="99">
        <v>2</v>
      </c>
      <c r="AL381" s="99">
        <v>1</v>
      </c>
      <c r="AM381" s="99">
        <v>2</v>
      </c>
      <c r="AN381" s="99">
        <v>1</v>
      </c>
      <c r="AO381" s="99">
        <v>2</v>
      </c>
      <c r="AP381" s="99">
        <v>2</v>
      </c>
      <c r="AQ381" s="99">
        <v>1</v>
      </c>
      <c r="AR381" s="99">
        <v>0</v>
      </c>
      <c r="AS381" s="99">
        <v>2</v>
      </c>
      <c r="AT381" s="99">
        <v>2</v>
      </c>
      <c r="AU381" s="99">
        <v>2</v>
      </c>
      <c r="AV381" s="99">
        <v>2</v>
      </c>
      <c r="AW381" s="99">
        <v>2</v>
      </c>
      <c r="AX381" s="99">
        <v>2</v>
      </c>
      <c r="AY381" s="99">
        <v>2</v>
      </c>
      <c r="AZ381" s="99">
        <v>2</v>
      </c>
      <c r="BA381" s="99">
        <v>2</v>
      </c>
      <c r="BB381" s="99">
        <v>2</v>
      </c>
      <c r="BC381" s="99">
        <v>2</v>
      </c>
      <c r="BD381" s="99">
        <v>2</v>
      </c>
      <c r="BE381" s="99">
        <v>1</v>
      </c>
      <c r="BF381" s="99">
        <v>2</v>
      </c>
      <c r="BG381" s="99">
        <v>2</v>
      </c>
      <c r="BH381" s="99">
        <v>2</v>
      </c>
      <c r="BI381" s="99">
        <v>1</v>
      </c>
      <c r="BJ381" s="99">
        <v>2</v>
      </c>
      <c r="BK381" s="99">
        <v>2</v>
      </c>
      <c r="BL381" s="99">
        <v>2</v>
      </c>
      <c r="BM381" s="99">
        <v>1</v>
      </c>
      <c r="BN381" s="99">
        <v>1</v>
      </c>
      <c r="BO381" s="99">
        <v>2</v>
      </c>
      <c r="BP381" s="99">
        <v>2</v>
      </c>
      <c r="BQ381" s="99">
        <v>2</v>
      </c>
      <c r="BR381" s="99">
        <v>2</v>
      </c>
      <c r="BS381" s="99">
        <v>2</v>
      </c>
      <c r="BT381" s="99">
        <v>2</v>
      </c>
      <c r="BU381" s="99">
        <v>2</v>
      </c>
      <c r="BV381" s="99">
        <v>2</v>
      </c>
      <c r="BW381" s="99">
        <v>0</v>
      </c>
      <c r="BX381" s="99">
        <v>1</v>
      </c>
      <c r="BY381" s="99">
        <v>2</v>
      </c>
      <c r="BZ381" s="99">
        <v>2</v>
      </c>
      <c r="CA381" s="99">
        <v>0</v>
      </c>
      <c r="CB381" s="99">
        <v>1</v>
      </c>
      <c r="CC381" s="99">
        <v>2</v>
      </c>
      <c r="CD381" s="99">
        <v>2</v>
      </c>
      <c r="CE381" s="99">
        <v>2</v>
      </c>
      <c r="CF381" s="99">
        <v>1</v>
      </c>
      <c r="CG381" s="99">
        <v>2</v>
      </c>
      <c r="CH381" s="99">
        <v>1</v>
      </c>
      <c r="CI381" s="99">
        <v>2</v>
      </c>
      <c r="CJ381" s="99">
        <v>1</v>
      </c>
      <c r="CK381" s="99">
        <v>2</v>
      </c>
      <c r="CL381" s="99">
        <v>2</v>
      </c>
      <c r="CM381" s="99">
        <v>2</v>
      </c>
      <c r="CN381" s="99">
        <v>2</v>
      </c>
      <c r="CO381" s="99">
        <v>2</v>
      </c>
      <c r="CP381" s="99">
        <v>2</v>
      </c>
      <c r="CQ381" s="99">
        <v>2</v>
      </c>
      <c r="CR381" s="99">
        <v>2</v>
      </c>
    </row>
    <row r="382" spans="1:96" x14ac:dyDescent="0.3">
      <c r="A382" s="99">
        <v>577</v>
      </c>
      <c r="B382" s="314">
        <v>577</v>
      </c>
      <c r="C382" s="99">
        <v>577</v>
      </c>
      <c r="D382" s="99" t="s">
        <v>644</v>
      </c>
      <c r="E382" s="99" t="s">
        <v>645</v>
      </c>
      <c r="F382" s="99">
        <v>0</v>
      </c>
      <c r="G382" s="99">
        <v>2</v>
      </c>
      <c r="H382" s="99">
        <v>2</v>
      </c>
      <c r="I382" s="99">
        <v>2</v>
      </c>
      <c r="J382" s="99">
        <v>2</v>
      </c>
      <c r="K382" s="99">
        <v>2</v>
      </c>
      <c r="L382" s="99">
        <v>2</v>
      </c>
      <c r="M382" s="99">
        <v>0</v>
      </c>
      <c r="N382" s="99">
        <v>0</v>
      </c>
      <c r="O382" s="99">
        <v>2</v>
      </c>
      <c r="P382" s="99">
        <v>2</v>
      </c>
      <c r="Q382" s="99">
        <v>0</v>
      </c>
      <c r="R382" s="99">
        <v>2</v>
      </c>
      <c r="S382" s="99">
        <v>2</v>
      </c>
      <c r="T382" s="99">
        <v>2</v>
      </c>
      <c r="U382" s="99">
        <v>2</v>
      </c>
      <c r="V382" s="99">
        <v>2</v>
      </c>
      <c r="W382" s="99">
        <v>2</v>
      </c>
      <c r="X382" s="99">
        <v>0</v>
      </c>
      <c r="Y382" s="99">
        <v>2</v>
      </c>
      <c r="Z382" s="99">
        <v>2</v>
      </c>
      <c r="AA382" s="99">
        <v>2</v>
      </c>
      <c r="AB382" s="99">
        <v>2</v>
      </c>
      <c r="AC382" s="99">
        <v>2</v>
      </c>
      <c r="AD382" s="99">
        <v>0</v>
      </c>
      <c r="AE382" s="99">
        <v>2</v>
      </c>
      <c r="AF382" s="99">
        <v>2</v>
      </c>
      <c r="AG382" s="99">
        <v>2</v>
      </c>
      <c r="AH382" s="99">
        <v>2</v>
      </c>
      <c r="AI382" s="99">
        <v>2</v>
      </c>
      <c r="AJ382" s="99">
        <v>2</v>
      </c>
      <c r="AK382" s="99">
        <v>2</v>
      </c>
      <c r="AL382" s="99">
        <v>2</v>
      </c>
      <c r="AM382" s="99">
        <v>1</v>
      </c>
      <c r="AN382" s="99">
        <v>2</v>
      </c>
      <c r="AO382" s="99">
        <v>2</v>
      </c>
      <c r="AP382" s="99">
        <v>2</v>
      </c>
      <c r="AQ382" s="99">
        <v>2</v>
      </c>
      <c r="AR382" s="99">
        <v>0</v>
      </c>
      <c r="AS382" s="99">
        <v>0</v>
      </c>
      <c r="AT382" s="99">
        <v>2</v>
      </c>
      <c r="AU382" s="99">
        <v>2</v>
      </c>
      <c r="AV382" s="99">
        <v>2</v>
      </c>
      <c r="AW382" s="99">
        <v>0</v>
      </c>
      <c r="AX382" s="99">
        <v>2</v>
      </c>
      <c r="AY382" s="99">
        <v>2</v>
      </c>
      <c r="AZ382" s="99">
        <v>2</v>
      </c>
      <c r="BA382" s="99">
        <v>2</v>
      </c>
      <c r="BB382" s="99">
        <v>2</v>
      </c>
      <c r="BC382" s="99">
        <v>2</v>
      </c>
      <c r="BD382" s="99">
        <v>2</v>
      </c>
      <c r="BE382" s="99">
        <v>1</v>
      </c>
      <c r="BF382" s="99">
        <v>2</v>
      </c>
      <c r="BG382" s="99">
        <v>2</v>
      </c>
      <c r="BH382" s="99">
        <v>2</v>
      </c>
      <c r="BI382" s="99">
        <v>2</v>
      </c>
      <c r="BJ382" s="99">
        <v>2</v>
      </c>
      <c r="BK382" s="99">
        <v>2</v>
      </c>
      <c r="BL382" s="99">
        <v>2</v>
      </c>
      <c r="BM382" s="99">
        <v>2</v>
      </c>
      <c r="BN382" s="99">
        <v>0</v>
      </c>
      <c r="BO382" s="99">
        <v>2</v>
      </c>
      <c r="BP382" s="99">
        <v>2</v>
      </c>
      <c r="BQ382" s="99">
        <v>2</v>
      </c>
      <c r="BR382" s="99">
        <v>2</v>
      </c>
      <c r="BS382" s="99">
        <v>2</v>
      </c>
      <c r="BT382" s="99">
        <v>2</v>
      </c>
      <c r="BU382" s="99">
        <v>2</v>
      </c>
      <c r="BV382" s="99">
        <v>2</v>
      </c>
      <c r="BW382" s="99">
        <v>0</v>
      </c>
      <c r="BX382" s="99">
        <v>2</v>
      </c>
      <c r="BY382" s="99">
        <v>2</v>
      </c>
      <c r="BZ382" s="99">
        <v>0</v>
      </c>
      <c r="CA382" s="99">
        <v>0</v>
      </c>
      <c r="CB382" s="99">
        <v>1</v>
      </c>
      <c r="CC382" s="99">
        <v>2</v>
      </c>
      <c r="CD382" s="99">
        <v>2</v>
      </c>
      <c r="CE382" s="99">
        <v>2</v>
      </c>
      <c r="CF382" s="99">
        <v>2</v>
      </c>
      <c r="CG382" s="99">
        <v>2</v>
      </c>
      <c r="CH382" s="99">
        <v>2</v>
      </c>
      <c r="CI382" s="99">
        <v>0</v>
      </c>
      <c r="CJ382" s="99">
        <v>1</v>
      </c>
      <c r="CK382" s="99">
        <v>2</v>
      </c>
      <c r="CL382" s="99">
        <v>2</v>
      </c>
      <c r="CM382" s="99">
        <v>0</v>
      </c>
      <c r="CN382" s="99">
        <v>2</v>
      </c>
      <c r="CO382" s="99">
        <v>2</v>
      </c>
      <c r="CP382" s="99">
        <v>2</v>
      </c>
      <c r="CQ382" s="99">
        <v>2</v>
      </c>
      <c r="CR382" s="99">
        <v>2</v>
      </c>
    </row>
    <row r="383" spans="1:96" x14ac:dyDescent="0.3">
      <c r="A383" s="99">
        <v>620</v>
      </c>
      <c r="B383" s="314">
        <v>620</v>
      </c>
      <c r="C383" s="99">
        <v>620</v>
      </c>
      <c r="D383" s="99" t="s">
        <v>700</v>
      </c>
      <c r="F383" s="99">
        <v>2</v>
      </c>
      <c r="G383" s="99">
        <v>2</v>
      </c>
      <c r="H383" s="99">
        <v>2</v>
      </c>
      <c r="I383" s="99">
        <v>2</v>
      </c>
      <c r="J383" s="99">
        <v>2</v>
      </c>
      <c r="K383" s="99">
        <v>2</v>
      </c>
      <c r="L383" s="99">
        <v>2</v>
      </c>
      <c r="M383" s="99">
        <v>2</v>
      </c>
      <c r="N383" s="99">
        <v>2</v>
      </c>
      <c r="O383" s="99">
        <v>2</v>
      </c>
      <c r="P383" s="99">
        <v>2</v>
      </c>
      <c r="Q383" s="99">
        <v>2</v>
      </c>
      <c r="R383" s="99">
        <v>2</v>
      </c>
      <c r="S383" s="99">
        <v>2</v>
      </c>
      <c r="T383" s="99">
        <v>2</v>
      </c>
      <c r="U383" s="99">
        <v>2</v>
      </c>
      <c r="V383" s="99">
        <v>2</v>
      </c>
      <c r="W383" s="99">
        <v>1</v>
      </c>
      <c r="X383" s="99">
        <v>2</v>
      </c>
      <c r="Y383" s="99">
        <v>2</v>
      </c>
      <c r="Z383" s="99">
        <v>2</v>
      </c>
      <c r="AA383" s="99">
        <v>2</v>
      </c>
      <c r="AB383" s="99">
        <v>2</v>
      </c>
      <c r="AC383" s="99">
        <v>2</v>
      </c>
      <c r="AD383" s="99">
        <v>2</v>
      </c>
      <c r="AE383" s="99">
        <v>2</v>
      </c>
      <c r="AF383" s="99">
        <v>1</v>
      </c>
      <c r="AG383" s="99">
        <v>2</v>
      </c>
      <c r="AH383" s="99">
        <v>2</v>
      </c>
      <c r="AI383" s="99">
        <v>2</v>
      </c>
      <c r="AJ383" s="99">
        <v>2</v>
      </c>
      <c r="AK383" s="99">
        <v>2</v>
      </c>
      <c r="AL383" s="99">
        <v>1</v>
      </c>
      <c r="AM383" s="99">
        <v>2</v>
      </c>
      <c r="AN383" s="99">
        <v>2</v>
      </c>
      <c r="AO383" s="99">
        <v>2</v>
      </c>
      <c r="AP383" s="99">
        <v>2</v>
      </c>
      <c r="AQ383" s="99">
        <v>0</v>
      </c>
      <c r="AR383" s="99">
        <v>0</v>
      </c>
      <c r="AS383" s="99">
        <v>2</v>
      </c>
      <c r="AT383" s="99">
        <v>2</v>
      </c>
      <c r="AU383" s="99">
        <v>2</v>
      </c>
      <c r="AV383" s="99">
        <v>2</v>
      </c>
      <c r="AW383" s="99">
        <v>2</v>
      </c>
      <c r="AX383" s="99">
        <v>2</v>
      </c>
      <c r="AY383" s="99">
        <v>2</v>
      </c>
      <c r="AZ383" s="99">
        <v>1</v>
      </c>
      <c r="BA383" s="99">
        <v>2</v>
      </c>
      <c r="BB383" s="99">
        <v>2</v>
      </c>
      <c r="BC383" s="99">
        <v>2</v>
      </c>
      <c r="BD383" s="99">
        <v>2</v>
      </c>
      <c r="BE383" s="99">
        <v>2</v>
      </c>
      <c r="BF383" s="99">
        <v>2</v>
      </c>
      <c r="BG383" s="99">
        <v>2</v>
      </c>
      <c r="BH383" s="99">
        <v>0</v>
      </c>
      <c r="BI383" s="99">
        <v>2</v>
      </c>
      <c r="BJ383" s="99">
        <v>2</v>
      </c>
      <c r="BK383" s="99">
        <v>2</v>
      </c>
      <c r="BL383" s="99">
        <v>2</v>
      </c>
      <c r="BM383" s="99">
        <v>1</v>
      </c>
      <c r="BN383" s="99">
        <v>1</v>
      </c>
      <c r="BO383" s="99">
        <v>2</v>
      </c>
      <c r="BP383" s="99">
        <v>2</v>
      </c>
      <c r="BQ383" s="99">
        <v>0</v>
      </c>
      <c r="BR383" s="99">
        <v>2</v>
      </c>
      <c r="BS383" s="99">
        <v>2</v>
      </c>
      <c r="BT383" s="99">
        <v>2</v>
      </c>
      <c r="BU383" s="99">
        <v>2</v>
      </c>
      <c r="BV383" s="99">
        <v>2</v>
      </c>
      <c r="BW383" s="99">
        <v>0</v>
      </c>
      <c r="BX383" s="99">
        <v>2</v>
      </c>
      <c r="BY383" s="99">
        <v>2</v>
      </c>
      <c r="BZ383" s="99">
        <v>2</v>
      </c>
      <c r="CA383" s="99">
        <v>0</v>
      </c>
      <c r="CB383" s="99">
        <v>2</v>
      </c>
      <c r="CC383" s="99">
        <v>1</v>
      </c>
      <c r="CD383" s="99">
        <v>1</v>
      </c>
      <c r="CE383" s="99">
        <v>2</v>
      </c>
      <c r="CF383" s="99">
        <v>2</v>
      </c>
      <c r="CG383" s="99">
        <v>2</v>
      </c>
      <c r="CH383" s="99">
        <v>2</v>
      </c>
      <c r="CI383" s="99">
        <v>1</v>
      </c>
      <c r="CJ383" s="99">
        <v>2</v>
      </c>
      <c r="CK383" s="99">
        <v>2</v>
      </c>
      <c r="CL383" s="99">
        <v>1</v>
      </c>
      <c r="CM383" s="99">
        <v>2</v>
      </c>
      <c r="CN383" s="99">
        <v>2</v>
      </c>
      <c r="CO383" s="99">
        <v>2</v>
      </c>
      <c r="CP383" s="99">
        <v>2</v>
      </c>
      <c r="CQ383" s="99">
        <v>2</v>
      </c>
      <c r="CR383" s="99">
        <v>2</v>
      </c>
    </row>
    <row r="384" spans="1:96" x14ac:dyDescent="0.3">
      <c r="A384" s="99">
        <v>545</v>
      </c>
      <c r="B384" s="314">
        <v>545</v>
      </c>
      <c r="C384" s="99">
        <v>545</v>
      </c>
      <c r="D384" s="99" t="s">
        <v>54</v>
      </c>
      <c r="E384" s="99" t="s">
        <v>511</v>
      </c>
      <c r="F384" s="99">
        <v>0</v>
      </c>
      <c r="G384" s="99">
        <v>0</v>
      </c>
      <c r="H384" s="99">
        <v>0</v>
      </c>
      <c r="I384" s="99">
        <v>0</v>
      </c>
      <c r="J384" s="99">
        <v>0</v>
      </c>
      <c r="K384" s="99">
        <v>0</v>
      </c>
      <c r="L384" s="99">
        <v>0</v>
      </c>
      <c r="M384" s="99">
        <v>0</v>
      </c>
      <c r="N384" s="99">
        <v>0</v>
      </c>
      <c r="O384" s="99">
        <v>0</v>
      </c>
      <c r="P384" s="99">
        <v>0</v>
      </c>
      <c r="Q384" s="99">
        <v>0</v>
      </c>
      <c r="R384" s="99">
        <v>0</v>
      </c>
      <c r="S384" s="99">
        <v>0</v>
      </c>
      <c r="T384" s="99">
        <v>0</v>
      </c>
      <c r="U384" s="99">
        <v>0</v>
      </c>
      <c r="V384" s="99">
        <v>0</v>
      </c>
      <c r="W384" s="99">
        <v>0</v>
      </c>
      <c r="X384" s="99">
        <v>0</v>
      </c>
      <c r="Y384" s="99">
        <v>0</v>
      </c>
      <c r="Z384" s="99">
        <v>0</v>
      </c>
      <c r="AA384" s="99">
        <v>0</v>
      </c>
      <c r="AB384" s="99">
        <v>0</v>
      </c>
      <c r="AC384" s="99">
        <v>0</v>
      </c>
      <c r="AD384" s="99">
        <v>0</v>
      </c>
      <c r="AE384" s="99">
        <v>0</v>
      </c>
      <c r="AF384" s="99">
        <v>0</v>
      </c>
      <c r="AG384" s="99">
        <v>0</v>
      </c>
      <c r="AH384" s="99">
        <v>0</v>
      </c>
      <c r="AI384" s="99">
        <v>0</v>
      </c>
      <c r="AJ384" s="99">
        <v>0</v>
      </c>
      <c r="AK384" s="99">
        <v>0</v>
      </c>
      <c r="AL384" s="99">
        <v>0</v>
      </c>
      <c r="AM384" s="99">
        <v>0</v>
      </c>
      <c r="AN384" s="99">
        <v>0</v>
      </c>
      <c r="AO384" s="99">
        <v>0</v>
      </c>
      <c r="AP384" s="99">
        <v>0</v>
      </c>
      <c r="AQ384" s="99">
        <v>0</v>
      </c>
      <c r="AR384" s="99">
        <v>0</v>
      </c>
      <c r="AS384" s="99">
        <v>0</v>
      </c>
      <c r="AT384" s="99">
        <v>0</v>
      </c>
      <c r="AU384" s="99">
        <v>0</v>
      </c>
      <c r="AV384" s="99">
        <v>0</v>
      </c>
      <c r="AW384" s="99">
        <v>0</v>
      </c>
      <c r="AX384" s="99">
        <v>0</v>
      </c>
      <c r="AY384" s="99">
        <v>0</v>
      </c>
      <c r="AZ384" s="99">
        <v>0</v>
      </c>
      <c r="BA384" s="99">
        <v>0</v>
      </c>
      <c r="BB384" s="99">
        <v>0</v>
      </c>
      <c r="BC384" s="99">
        <v>0</v>
      </c>
      <c r="BD384" s="99">
        <v>0</v>
      </c>
      <c r="BE384" s="99">
        <v>0</v>
      </c>
      <c r="BF384" s="99">
        <v>0</v>
      </c>
      <c r="BG384" s="99">
        <v>0</v>
      </c>
      <c r="BH384" s="99">
        <v>0</v>
      </c>
      <c r="BI384" s="99">
        <v>0</v>
      </c>
      <c r="BJ384" s="99">
        <v>0</v>
      </c>
      <c r="BK384" s="99">
        <v>0</v>
      </c>
      <c r="BL384" s="99">
        <v>0</v>
      </c>
      <c r="BM384" s="99">
        <v>0</v>
      </c>
      <c r="BN384" s="99">
        <v>0</v>
      </c>
      <c r="BO384" s="99">
        <v>0.1</v>
      </c>
      <c r="BP384" s="99">
        <v>0</v>
      </c>
      <c r="BQ384" s="99">
        <v>0</v>
      </c>
      <c r="BR384" s="99">
        <v>0</v>
      </c>
      <c r="BS384" s="99">
        <v>0</v>
      </c>
      <c r="BT384" s="99">
        <v>0</v>
      </c>
      <c r="BU384" s="99">
        <v>0</v>
      </c>
      <c r="BV384" s="99">
        <v>0</v>
      </c>
      <c r="BW384" s="99">
        <v>0</v>
      </c>
      <c r="BX384" s="99">
        <v>0</v>
      </c>
      <c r="BY384" s="99">
        <v>0</v>
      </c>
      <c r="BZ384" s="99">
        <v>0</v>
      </c>
      <c r="CA384" s="99">
        <v>0</v>
      </c>
      <c r="CB384" s="99">
        <v>0.1</v>
      </c>
      <c r="CC384" s="99">
        <v>0</v>
      </c>
      <c r="CD384" s="99">
        <v>0</v>
      </c>
      <c r="CE384" s="99">
        <v>0</v>
      </c>
      <c r="CF384" s="99">
        <v>0</v>
      </c>
      <c r="CG384" s="99">
        <v>0</v>
      </c>
      <c r="CH384" s="99">
        <v>0</v>
      </c>
      <c r="CI384" s="99">
        <v>0</v>
      </c>
      <c r="CJ384" s="99">
        <v>0</v>
      </c>
      <c r="CK384" s="99">
        <v>0</v>
      </c>
      <c r="CL384" s="99">
        <v>5</v>
      </c>
      <c r="CM384" s="99">
        <v>0</v>
      </c>
      <c r="CN384" s="99">
        <v>0</v>
      </c>
      <c r="CO384" s="99">
        <v>0</v>
      </c>
      <c r="CP384" s="99">
        <v>0</v>
      </c>
      <c r="CQ384" s="99">
        <v>0</v>
      </c>
      <c r="CR384" s="99">
        <v>0</v>
      </c>
    </row>
    <row r="385" spans="1:96" x14ac:dyDescent="0.3">
      <c r="A385" s="99">
        <v>624</v>
      </c>
      <c r="B385" s="314">
        <v>624</v>
      </c>
      <c r="F385" s="99">
        <v>1</v>
      </c>
      <c r="G385" s="99">
        <v>1</v>
      </c>
      <c r="H385" s="99">
        <v>2</v>
      </c>
      <c r="I385" s="99">
        <v>1</v>
      </c>
      <c r="J385" s="99">
        <v>1</v>
      </c>
      <c r="K385" s="99">
        <v>1</v>
      </c>
      <c r="L385" s="99">
        <v>1</v>
      </c>
      <c r="M385" s="99">
        <v>1</v>
      </c>
      <c r="N385" s="99">
        <v>1</v>
      </c>
      <c r="O385" s="99">
        <v>2</v>
      </c>
      <c r="P385" s="99">
        <v>1</v>
      </c>
      <c r="Q385" s="99">
        <v>2</v>
      </c>
      <c r="R385" s="99">
        <v>1</v>
      </c>
      <c r="S385" s="99">
        <v>2</v>
      </c>
      <c r="T385" s="99">
        <v>1</v>
      </c>
      <c r="U385" s="99">
        <v>2</v>
      </c>
      <c r="V385" s="99">
        <v>1</v>
      </c>
      <c r="W385" s="99">
        <v>1</v>
      </c>
      <c r="X385" s="99">
        <v>2</v>
      </c>
      <c r="Y385" s="99">
        <v>2</v>
      </c>
      <c r="Z385" s="99">
        <v>2</v>
      </c>
      <c r="AA385" s="99">
        <v>2</v>
      </c>
      <c r="AB385" s="99">
        <v>2</v>
      </c>
      <c r="AC385" s="99">
        <v>1</v>
      </c>
      <c r="AD385" s="99">
        <v>1</v>
      </c>
      <c r="AE385" s="99">
        <v>1</v>
      </c>
      <c r="AF385" s="99">
        <v>1</v>
      </c>
      <c r="AG385" s="99">
        <v>1</v>
      </c>
      <c r="AH385" s="99">
        <v>2</v>
      </c>
      <c r="AI385" s="99">
        <v>1</v>
      </c>
      <c r="AJ385" s="99">
        <v>1</v>
      </c>
      <c r="AK385" s="99">
        <v>1</v>
      </c>
      <c r="AL385" s="99">
        <v>1</v>
      </c>
      <c r="AM385" s="99">
        <v>2</v>
      </c>
      <c r="AN385" s="99">
        <v>2</v>
      </c>
      <c r="AO385" s="99">
        <v>2</v>
      </c>
      <c r="AP385" s="99">
        <v>2</v>
      </c>
      <c r="AQ385" s="99">
        <v>2</v>
      </c>
      <c r="AR385" s="99">
        <v>0</v>
      </c>
      <c r="AS385" s="99">
        <v>2</v>
      </c>
      <c r="AT385" s="99">
        <v>1</v>
      </c>
      <c r="AU385" s="99">
        <v>1</v>
      </c>
      <c r="AV385" s="99">
        <v>2</v>
      </c>
      <c r="AW385" s="99">
        <v>1</v>
      </c>
      <c r="AX385" s="99">
        <v>1</v>
      </c>
      <c r="AY385" s="99">
        <v>1</v>
      </c>
      <c r="AZ385" s="99">
        <v>1</v>
      </c>
      <c r="BA385" s="99">
        <v>2</v>
      </c>
      <c r="BB385" s="99">
        <v>2</v>
      </c>
      <c r="BC385" s="99">
        <v>1</v>
      </c>
      <c r="BD385" s="99">
        <v>1</v>
      </c>
      <c r="BE385" s="99">
        <v>2</v>
      </c>
      <c r="BF385" s="99">
        <v>1</v>
      </c>
      <c r="BG385" s="99">
        <v>1</v>
      </c>
      <c r="BH385" s="99">
        <v>2</v>
      </c>
      <c r="BI385" s="99">
        <v>1</v>
      </c>
      <c r="BJ385" s="99">
        <v>2</v>
      </c>
      <c r="BK385" s="99">
        <v>2</v>
      </c>
      <c r="BL385" s="99">
        <v>2</v>
      </c>
      <c r="BM385" s="99">
        <v>2</v>
      </c>
      <c r="BN385" s="99">
        <v>2</v>
      </c>
      <c r="BO385" s="99">
        <v>1</v>
      </c>
      <c r="BP385" s="99">
        <v>2</v>
      </c>
      <c r="BQ385" s="99">
        <v>1</v>
      </c>
      <c r="BR385" s="99">
        <v>1</v>
      </c>
      <c r="BS385" s="99">
        <v>2</v>
      </c>
      <c r="BT385" s="99">
        <v>1</v>
      </c>
      <c r="BU385" s="99">
        <v>2</v>
      </c>
      <c r="BV385" s="99">
        <v>1</v>
      </c>
      <c r="BW385" s="99">
        <v>0</v>
      </c>
      <c r="BX385" s="99">
        <v>2</v>
      </c>
      <c r="BY385" s="99">
        <v>2</v>
      </c>
      <c r="BZ385" s="99">
        <v>2</v>
      </c>
      <c r="CA385" s="99">
        <v>0</v>
      </c>
      <c r="CB385" s="99">
        <v>2</v>
      </c>
      <c r="CC385" s="99">
        <v>1</v>
      </c>
      <c r="CD385" s="99">
        <v>1</v>
      </c>
      <c r="CE385" s="99">
        <v>1</v>
      </c>
      <c r="CF385" s="99">
        <v>1</v>
      </c>
      <c r="CG385" s="99">
        <v>2</v>
      </c>
      <c r="CH385" s="99">
        <v>1</v>
      </c>
      <c r="CI385" s="99">
        <v>1</v>
      </c>
      <c r="CJ385" s="99">
        <v>2</v>
      </c>
      <c r="CK385" s="99">
        <v>1</v>
      </c>
      <c r="CL385" s="99">
        <v>1</v>
      </c>
      <c r="CM385" s="99">
        <v>2</v>
      </c>
      <c r="CN385" s="99">
        <v>1</v>
      </c>
      <c r="CO385" s="99">
        <v>2</v>
      </c>
      <c r="CP385" s="99">
        <v>2</v>
      </c>
      <c r="CQ385" s="99">
        <v>2</v>
      </c>
      <c r="CR385" s="99">
        <v>1</v>
      </c>
    </row>
    <row r="386" spans="1:96" x14ac:dyDescent="0.3">
      <c r="A386" s="99">
        <v>995</v>
      </c>
      <c r="B386" s="314">
        <v>995</v>
      </c>
      <c r="C386" s="99">
        <v>995</v>
      </c>
      <c r="D386" s="99" t="s">
        <v>518</v>
      </c>
      <c r="E386" s="99" t="s">
        <v>519</v>
      </c>
      <c r="F386" s="99">
        <v>0</v>
      </c>
      <c r="G386" s="99">
        <v>0</v>
      </c>
      <c r="H386" s="99">
        <v>0</v>
      </c>
      <c r="I386" s="99">
        <v>0</v>
      </c>
      <c r="J386" s="99">
        <v>0.09</v>
      </c>
      <c r="K386" s="99">
        <v>0</v>
      </c>
      <c r="L386" s="99">
        <v>7.0000000000000007E-2</v>
      </c>
      <c r="M386" s="99">
        <v>0</v>
      </c>
      <c r="N386" s="99">
        <v>0</v>
      </c>
      <c r="O386" s="99">
        <v>0</v>
      </c>
      <c r="P386" s="99">
        <v>0</v>
      </c>
      <c r="Q386" s="99">
        <v>0</v>
      </c>
      <c r="R386" s="99">
        <v>0</v>
      </c>
      <c r="S386" s="99">
        <v>0</v>
      </c>
      <c r="T386" s="99">
        <v>0</v>
      </c>
      <c r="U386" s="99">
        <v>0</v>
      </c>
      <c r="V386" s="99">
        <v>0</v>
      </c>
      <c r="W386" s="99">
        <v>0</v>
      </c>
      <c r="X386" s="99">
        <v>0</v>
      </c>
      <c r="Y386" s="99">
        <v>0</v>
      </c>
      <c r="Z386" s="99">
        <v>0</v>
      </c>
      <c r="AA386" s="99">
        <v>0</v>
      </c>
      <c r="AB386" s="99">
        <v>0.08</v>
      </c>
      <c r="AC386" s="99">
        <v>0</v>
      </c>
      <c r="AD386" s="99">
        <v>0</v>
      </c>
      <c r="AE386" s="99">
        <v>0</v>
      </c>
      <c r="AF386" s="99">
        <v>0</v>
      </c>
      <c r="AG386" s="99">
        <v>0</v>
      </c>
      <c r="AH386" s="99">
        <v>0</v>
      </c>
      <c r="AI386" s="99">
        <v>0</v>
      </c>
      <c r="AJ386" s="99">
        <v>0</v>
      </c>
      <c r="AK386" s="99">
        <v>0</v>
      </c>
      <c r="AL386" s="99">
        <v>0</v>
      </c>
      <c r="AM386" s="99">
        <v>0</v>
      </c>
      <c r="AN386" s="99">
        <v>0</v>
      </c>
      <c r="AO386" s="99">
        <v>0</v>
      </c>
      <c r="AP386" s="99">
        <v>0</v>
      </c>
      <c r="AQ386" s="99">
        <v>0</v>
      </c>
      <c r="AR386" s="99">
        <v>0</v>
      </c>
      <c r="AS386" s="99">
        <v>0</v>
      </c>
      <c r="AT386" s="99">
        <v>0</v>
      </c>
      <c r="AU386" s="99">
        <v>0</v>
      </c>
      <c r="AV386" s="99">
        <v>0</v>
      </c>
      <c r="AW386" s="99">
        <v>0</v>
      </c>
      <c r="AX386" s="99">
        <v>0</v>
      </c>
      <c r="AY386" s="99">
        <v>0</v>
      </c>
      <c r="AZ386" s="99">
        <v>0.08</v>
      </c>
      <c r="BA386" s="99">
        <v>0</v>
      </c>
      <c r="BB386" s="99">
        <v>0</v>
      </c>
      <c r="BC386" s="99">
        <v>0</v>
      </c>
      <c r="BD386" s="99">
        <v>0</v>
      </c>
      <c r="BE386" s="99">
        <v>0</v>
      </c>
      <c r="BF386" s="99">
        <v>0.09</v>
      </c>
      <c r="BG386" s="99">
        <v>0</v>
      </c>
      <c r="BH386" s="99">
        <v>0</v>
      </c>
      <c r="BI386" s="99">
        <v>0.08</v>
      </c>
      <c r="BJ386" s="99">
        <v>0</v>
      </c>
      <c r="BK386" s="99">
        <v>0</v>
      </c>
      <c r="BL386" s="99">
        <v>0</v>
      </c>
      <c r="BM386" s="99">
        <v>0.09</v>
      </c>
      <c r="BN386" s="99">
        <v>0</v>
      </c>
      <c r="BO386" s="99">
        <v>0</v>
      </c>
      <c r="BP386" s="99">
        <v>0</v>
      </c>
      <c r="BQ386" s="99">
        <v>0</v>
      </c>
      <c r="BR386" s="99">
        <v>0</v>
      </c>
      <c r="BS386" s="99">
        <v>0</v>
      </c>
      <c r="BT386" s="99">
        <v>0</v>
      </c>
      <c r="BU386" s="99">
        <v>0</v>
      </c>
      <c r="BV386" s="99">
        <v>0</v>
      </c>
      <c r="BW386" s="99">
        <v>0</v>
      </c>
      <c r="BX386" s="99">
        <v>0</v>
      </c>
      <c r="BY386" s="99">
        <v>0</v>
      </c>
      <c r="BZ386" s="99">
        <v>0</v>
      </c>
      <c r="CA386" s="99">
        <v>0</v>
      </c>
      <c r="CB386" s="99">
        <v>0</v>
      </c>
      <c r="CC386" s="99">
        <v>0</v>
      </c>
      <c r="CD386" s="99">
        <v>0.08</v>
      </c>
      <c r="CE386" s="99">
        <v>0</v>
      </c>
      <c r="CF386" s="99">
        <v>0.09</v>
      </c>
      <c r="CG386" s="99">
        <v>0</v>
      </c>
      <c r="CH386" s="99">
        <v>0</v>
      </c>
      <c r="CI386" s="99">
        <v>0</v>
      </c>
      <c r="CJ386" s="99">
        <v>0.09</v>
      </c>
      <c r="CK386" s="99">
        <v>0</v>
      </c>
      <c r="CL386" s="99">
        <v>0</v>
      </c>
      <c r="CM386" s="99">
        <v>0</v>
      </c>
      <c r="CN386" s="99">
        <v>0</v>
      </c>
      <c r="CO386" s="99">
        <v>0</v>
      </c>
      <c r="CP386" s="99">
        <v>0</v>
      </c>
      <c r="CQ386" s="99">
        <v>0</v>
      </c>
      <c r="CR386" s="99">
        <v>0</v>
      </c>
    </row>
    <row r="387" spans="1:96" x14ac:dyDescent="0.3">
      <c r="A387" s="99">
        <v>996</v>
      </c>
      <c r="B387" s="314">
        <v>996</v>
      </c>
      <c r="C387" s="99">
        <v>996</v>
      </c>
      <c r="D387" s="99" t="s">
        <v>520</v>
      </c>
      <c r="E387" s="99" t="s">
        <v>521</v>
      </c>
      <c r="F387" s="99">
        <v>0</v>
      </c>
      <c r="G387" s="99">
        <v>0</v>
      </c>
      <c r="H387" s="99">
        <v>0.01</v>
      </c>
      <c r="I387" s="99">
        <v>0.01</v>
      </c>
      <c r="J387" s="99">
        <v>0.01</v>
      </c>
      <c r="K387" s="99">
        <v>0.01</v>
      </c>
      <c r="L387" s="99">
        <v>0.01</v>
      </c>
      <c r="M387" s="99">
        <v>0.01</v>
      </c>
      <c r="N387" s="99">
        <v>0</v>
      </c>
      <c r="O387" s="99">
        <v>0.01</v>
      </c>
      <c r="P387" s="99">
        <v>0.01</v>
      </c>
      <c r="Q387" s="99">
        <v>0</v>
      </c>
      <c r="R387" s="99">
        <v>0.01</v>
      </c>
      <c r="S387" s="99">
        <v>0</v>
      </c>
      <c r="T387" s="99">
        <v>0</v>
      </c>
      <c r="U387" s="99">
        <v>0</v>
      </c>
      <c r="V387" s="99">
        <v>0.01</v>
      </c>
      <c r="W387" s="99">
        <v>0</v>
      </c>
      <c r="X387" s="99">
        <v>0.01</v>
      </c>
      <c r="Y387" s="99">
        <v>0</v>
      </c>
      <c r="Z387" s="99">
        <v>0.01</v>
      </c>
      <c r="AA387" s="99">
        <v>0</v>
      </c>
      <c r="AB387" s="99">
        <v>0.01</v>
      </c>
      <c r="AC387" s="99">
        <v>0.01</v>
      </c>
      <c r="AD387" s="99">
        <v>0.01</v>
      </c>
      <c r="AE387" s="99">
        <v>0.01</v>
      </c>
      <c r="AF387" s="99">
        <v>0.01</v>
      </c>
      <c r="AG387" s="99">
        <v>0</v>
      </c>
      <c r="AH387" s="99">
        <v>0.01</v>
      </c>
      <c r="AI387" s="99">
        <v>0</v>
      </c>
      <c r="AJ387" s="99">
        <v>0.01</v>
      </c>
      <c r="AK387" s="99">
        <v>0.01</v>
      </c>
      <c r="AL387" s="99">
        <v>0.01</v>
      </c>
      <c r="AM387" s="99">
        <v>0.01</v>
      </c>
      <c r="AN387" s="99">
        <v>0.01</v>
      </c>
      <c r="AO387" s="99">
        <v>0.01</v>
      </c>
      <c r="AP387" s="99">
        <v>0</v>
      </c>
      <c r="AQ387" s="99">
        <v>0.01</v>
      </c>
      <c r="AR387" s="99">
        <v>0.01</v>
      </c>
      <c r="AS387" s="99">
        <v>0</v>
      </c>
      <c r="AT387" s="99">
        <v>0</v>
      </c>
      <c r="AU387" s="99">
        <v>0</v>
      </c>
      <c r="AV387" s="99">
        <v>0</v>
      </c>
      <c r="AW387" s="99">
        <v>0.01</v>
      </c>
      <c r="AX387" s="99">
        <v>0.01</v>
      </c>
      <c r="AY387" s="99">
        <v>0.01</v>
      </c>
      <c r="AZ387" s="99">
        <v>0</v>
      </c>
      <c r="BA387" s="99">
        <v>0</v>
      </c>
      <c r="BB387" s="99">
        <v>0.01</v>
      </c>
      <c r="BC387" s="99">
        <v>0</v>
      </c>
      <c r="BD387" s="99">
        <v>0.01</v>
      </c>
      <c r="BE387" s="99">
        <v>0.01</v>
      </c>
      <c r="BF387" s="99">
        <v>0.01</v>
      </c>
      <c r="BG387" s="99">
        <v>0.01</v>
      </c>
      <c r="BH387" s="99">
        <v>0.01</v>
      </c>
      <c r="BI387" s="99">
        <v>0.01</v>
      </c>
      <c r="BJ387" s="99">
        <v>0</v>
      </c>
      <c r="BK387" s="99">
        <v>0</v>
      </c>
      <c r="BL387" s="99">
        <v>0</v>
      </c>
      <c r="BM387" s="99">
        <v>0.01</v>
      </c>
      <c r="BN387" s="99">
        <v>0.01</v>
      </c>
      <c r="BO387" s="99">
        <v>0</v>
      </c>
      <c r="BP387" s="99">
        <v>0</v>
      </c>
      <c r="BQ387" s="99">
        <v>0.01</v>
      </c>
      <c r="BR387" s="99">
        <v>0</v>
      </c>
      <c r="BS387" s="99">
        <v>0</v>
      </c>
      <c r="BT387" s="99">
        <v>0</v>
      </c>
      <c r="BU387" s="99">
        <v>0.01</v>
      </c>
      <c r="BV387" s="99">
        <v>0</v>
      </c>
      <c r="BW387" s="99">
        <v>0.01</v>
      </c>
      <c r="BX387" s="99">
        <v>0.01</v>
      </c>
      <c r="BY387" s="99">
        <v>0.01</v>
      </c>
      <c r="BZ387" s="99">
        <v>0.01</v>
      </c>
      <c r="CA387" s="99">
        <v>0.01</v>
      </c>
      <c r="CB387" s="99">
        <v>0.01</v>
      </c>
      <c r="CC387" s="99">
        <v>0</v>
      </c>
      <c r="CD387" s="99">
        <v>0.01</v>
      </c>
      <c r="CE387" s="99">
        <v>0</v>
      </c>
      <c r="CF387" s="99">
        <v>0.01</v>
      </c>
      <c r="CG387" s="99">
        <v>0.01</v>
      </c>
      <c r="CH387" s="99">
        <v>0.01</v>
      </c>
      <c r="CI387" s="99">
        <v>0.01</v>
      </c>
      <c r="CJ387" s="99">
        <v>0.01</v>
      </c>
      <c r="CK387" s="99">
        <v>0.01</v>
      </c>
      <c r="CL387" s="99">
        <v>0</v>
      </c>
      <c r="CM387" s="99">
        <v>0.01</v>
      </c>
      <c r="CN387" s="99">
        <v>0.01</v>
      </c>
      <c r="CO387" s="99">
        <v>0.01</v>
      </c>
      <c r="CP387" s="99">
        <v>0.01</v>
      </c>
      <c r="CQ387" s="99">
        <v>0</v>
      </c>
      <c r="CR387" s="99">
        <v>0</v>
      </c>
    </row>
    <row r="388" spans="1:96" x14ac:dyDescent="0.3">
      <c r="A388" s="99">
        <v>997</v>
      </c>
      <c r="C388" s="99">
        <v>997</v>
      </c>
    </row>
    <row r="389" spans="1:96" x14ac:dyDescent="0.3">
      <c r="A389" s="99">
        <v>998</v>
      </c>
      <c r="B389" s="314">
        <v>998</v>
      </c>
      <c r="C389" s="99">
        <v>998</v>
      </c>
      <c r="D389" s="99" t="s">
        <v>291</v>
      </c>
      <c r="E389" s="99" t="s">
        <v>522</v>
      </c>
      <c r="F389" s="99">
        <v>50</v>
      </c>
      <c r="G389" s="99">
        <v>50</v>
      </c>
      <c r="H389" s="99">
        <v>50</v>
      </c>
      <c r="I389" s="99">
        <v>50</v>
      </c>
      <c r="J389" s="99">
        <v>50</v>
      </c>
      <c r="K389" s="99">
        <v>50</v>
      </c>
      <c r="L389" s="99">
        <v>50</v>
      </c>
      <c r="M389" s="99">
        <v>50</v>
      </c>
      <c r="N389" s="99">
        <v>50</v>
      </c>
      <c r="O389" s="99">
        <v>50</v>
      </c>
      <c r="P389" s="99">
        <v>50</v>
      </c>
      <c r="Q389" s="99">
        <v>50</v>
      </c>
      <c r="R389" s="99">
        <v>50</v>
      </c>
      <c r="S389" s="99">
        <v>50</v>
      </c>
      <c r="T389" s="99">
        <v>50</v>
      </c>
      <c r="U389" s="99">
        <v>50</v>
      </c>
      <c r="V389" s="99">
        <v>50</v>
      </c>
      <c r="W389" s="99">
        <v>50</v>
      </c>
      <c r="X389" s="99">
        <v>50</v>
      </c>
      <c r="Y389" s="99">
        <v>50</v>
      </c>
      <c r="Z389" s="99">
        <v>50</v>
      </c>
      <c r="AA389" s="99">
        <v>50</v>
      </c>
      <c r="AB389" s="99">
        <v>50</v>
      </c>
      <c r="AC389" s="99">
        <v>50</v>
      </c>
      <c r="AD389" s="99">
        <v>50</v>
      </c>
      <c r="AE389" s="99">
        <v>50</v>
      </c>
      <c r="AF389" s="99">
        <v>50</v>
      </c>
      <c r="AG389" s="99">
        <v>50</v>
      </c>
      <c r="AH389" s="99">
        <v>50</v>
      </c>
      <c r="AI389" s="99">
        <v>50</v>
      </c>
      <c r="AJ389" s="99">
        <v>50</v>
      </c>
      <c r="AK389" s="99">
        <v>50</v>
      </c>
      <c r="AL389" s="99">
        <v>50</v>
      </c>
      <c r="AM389" s="99">
        <v>50</v>
      </c>
      <c r="AN389" s="99">
        <v>50</v>
      </c>
      <c r="AO389" s="99">
        <v>50</v>
      </c>
      <c r="AP389" s="99">
        <v>50</v>
      </c>
      <c r="AQ389" s="99">
        <v>50</v>
      </c>
      <c r="AR389" s="99">
        <v>0</v>
      </c>
      <c r="AS389" s="99">
        <v>50</v>
      </c>
      <c r="AT389" s="99">
        <v>50</v>
      </c>
      <c r="AU389" s="99">
        <v>50</v>
      </c>
      <c r="AV389" s="99">
        <v>50</v>
      </c>
      <c r="AW389" s="99">
        <v>50</v>
      </c>
      <c r="AX389" s="99">
        <v>50</v>
      </c>
      <c r="AY389" s="99">
        <v>50</v>
      </c>
      <c r="AZ389" s="99">
        <v>50</v>
      </c>
      <c r="BA389" s="99">
        <v>50</v>
      </c>
      <c r="BB389" s="99">
        <v>50</v>
      </c>
      <c r="BC389" s="99">
        <v>50</v>
      </c>
      <c r="BD389" s="99">
        <v>50</v>
      </c>
      <c r="BE389" s="99">
        <v>50</v>
      </c>
      <c r="BF389" s="99">
        <v>50</v>
      </c>
      <c r="BG389" s="99">
        <v>50</v>
      </c>
      <c r="BH389" s="99">
        <v>50</v>
      </c>
      <c r="BI389" s="99">
        <v>50</v>
      </c>
      <c r="BJ389" s="99">
        <v>50</v>
      </c>
      <c r="BK389" s="99">
        <v>50</v>
      </c>
      <c r="BL389" s="99">
        <v>50</v>
      </c>
      <c r="BM389" s="99">
        <v>50</v>
      </c>
      <c r="BN389" s="99">
        <v>50</v>
      </c>
      <c r="BO389" s="99">
        <v>50</v>
      </c>
      <c r="BP389" s="99">
        <v>50</v>
      </c>
      <c r="BQ389" s="99">
        <v>50</v>
      </c>
      <c r="BR389" s="99">
        <v>50</v>
      </c>
      <c r="BS389" s="99">
        <v>50</v>
      </c>
      <c r="BT389" s="99">
        <v>50</v>
      </c>
      <c r="BU389" s="99">
        <v>50</v>
      </c>
      <c r="BV389" s="99">
        <v>50</v>
      </c>
      <c r="BW389" s="99">
        <v>0</v>
      </c>
      <c r="BX389" s="99">
        <v>50</v>
      </c>
      <c r="BY389" s="99">
        <v>50</v>
      </c>
      <c r="BZ389" s="99">
        <v>50</v>
      </c>
      <c r="CA389" s="99">
        <v>0</v>
      </c>
      <c r="CB389" s="99">
        <v>50</v>
      </c>
      <c r="CC389" s="99">
        <v>50</v>
      </c>
      <c r="CD389" s="99">
        <v>50</v>
      </c>
      <c r="CE389" s="99">
        <v>50</v>
      </c>
      <c r="CF389" s="99">
        <v>50</v>
      </c>
      <c r="CG389" s="99">
        <v>50</v>
      </c>
      <c r="CH389" s="99">
        <v>50</v>
      </c>
      <c r="CI389" s="99">
        <v>50</v>
      </c>
      <c r="CJ389" s="99">
        <v>50</v>
      </c>
      <c r="CK389" s="99">
        <v>50</v>
      </c>
      <c r="CL389" s="99">
        <v>50</v>
      </c>
      <c r="CM389" s="99">
        <v>50</v>
      </c>
      <c r="CN389" s="99">
        <v>50</v>
      </c>
      <c r="CO389" s="99">
        <v>50</v>
      </c>
      <c r="CP389" s="99">
        <v>50</v>
      </c>
      <c r="CQ389" s="99">
        <v>50</v>
      </c>
      <c r="CR389" s="99">
        <v>50</v>
      </c>
    </row>
    <row r="390" spans="1:96" x14ac:dyDescent="0.3">
      <c r="A390" s="99">
        <v>999</v>
      </c>
      <c r="B390" s="314">
        <v>999</v>
      </c>
      <c r="C390" s="99">
        <v>999</v>
      </c>
      <c r="D390" s="99" t="s">
        <v>292</v>
      </c>
      <c r="E390" s="99" t="s">
        <v>523</v>
      </c>
      <c r="F390" s="99">
        <v>50372</v>
      </c>
      <c r="G390" s="99">
        <v>50457</v>
      </c>
      <c r="H390" s="99">
        <v>50373</v>
      </c>
      <c r="I390" s="99">
        <v>50374</v>
      </c>
      <c r="J390" s="99">
        <v>50375</v>
      </c>
      <c r="K390" s="99">
        <v>50376</v>
      </c>
      <c r="L390" s="99">
        <v>50377</v>
      </c>
      <c r="M390" s="99">
        <v>50378</v>
      </c>
      <c r="N390" s="99">
        <v>50379</v>
      </c>
      <c r="O390" s="99">
        <v>50530</v>
      </c>
      <c r="P390" s="99">
        <v>50380</v>
      </c>
      <c r="Q390" s="99">
        <v>50483</v>
      </c>
      <c r="R390" s="99">
        <v>50381</v>
      </c>
      <c r="S390" s="99">
        <v>50501</v>
      </c>
      <c r="T390" s="99">
        <v>50494</v>
      </c>
      <c r="U390" s="99">
        <v>50382</v>
      </c>
      <c r="V390" s="99">
        <v>50383</v>
      </c>
      <c r="W390" s="99">
        <v>50384</v>
      </c>
      <c r="X390" s="99">
        <v>50557</v>
      </c>
      <c r="Y390" s="99">
        <v>50385</v>
      </c>
      <c r="Z390" s="99">
        <v>50386</v>
      </c>
      <c r="AA390" s="99">
        <v>50388</v>
      </c>
      <c r="AB390" s="99">
        <v>50387</v>
      </c>
      <c r="AC390" s="99">
        <v>50389</v>
      </c>
      <c r="AD390" s="99">
        <v>50500</v>
      </c>
      <c r="AE390" s="99">
        <v>50390</v>
      </c>
      <c r="AF390" s="99">
        <v>50391</v>
      </c>
      <c r="AG390" s="99">
        <v>50531</v>
      </c>
      <c r="AH390" s="99">
        <v>50392</v>
      </c>
      <c r="AI390" s="99">
        <v>50458</v>
      </c>
      <c r="AJ390" s="99">
        <v>50393</v>
      </c>
      <c r="AK390" s="99">
        <v>50544</v>
      </c>
      <c r="AL390" s="99">
        <v>50394</v>
      </c>
      <c r="AM390" s="99">
        <v>50395</v>
      </c>
      <c r="AN390" s="99">
        <v>50396</v>
      </c>
      <c r="AO390" s="99">
        <v>50397</v>
      </c>
      <c r="AP390" s="99">
        <v>50550</v>
      </c>
      <c r="AQ390" s="99">
        <v>50398</v>
      </c>
      <c r="AR390" s="99">
        <v>0</v>
      </c>
      <c r="AS390" s="99">
        <v>50400</v>
      </c>
      <c r="AT390" s="99">
        <v>50532</v>
      </c>
      <c r="AU390" s="99">
        <v>50401</v>
      </c>
      <c r="AV390" s="99">
        <v>50402</v>
      </c>
      <c r="AW390" s="99">
        <v>50485</v>
      </c>
      <c r="AX390" s="99">
        <v>50403</v>
      </c>
      <c r="AY390" s="99">
        <v>50404</v>
      </c>
      <c r="AZ390" s="99">
        <v>50405</v>
      </c>
      <c r="BA390" s="99">
        <v>50533</v>
      </c>
      <c r="BB390" s="99">
        <v>50406</v>
      </c>
      <c r="BC390" s="99">
        <v>50565</v>
      </c>
      <c r="BD390" s="99">
        <v>50411</v>
      </c>
      <c r="BE390" s="99">
        <v>50486</v>
      </c>
      <c r="BF390" s="99">
        <v>50408</v>
      </c>
      <c r="BG390" s="99">
        <v>50409</v>
      </c>
      <c r="BH390" s="99">
        <v>50410</v>
      </c>
      <c r="BI390" s="99">
        <v>50411</v>
      </c>
      <c r="BJ390" s="99">
        <v>50412</v>
      </c>
      <c r="BK390" s="99">
        <v>50488</v>
      </c>
      <c r="BL390" s="99">
        <v>50413</v>
      </c>
      <c r="BM390" s="99">
        <v>50414</v>
      </c>
      <c r="BN390" s="99">
        <v>50415</v>
      </c>
      <c r="BO390" s="99">
        <v>50416</v>
      </c>
      <c r="BP390" s="99">
        <v>50534</v>
      </c>
      <c r="BQ390" s="99">
        <v>50417</v>
      </c>
      <c r="BR390" s="99">
        <v>50418</v>
      </c>
      <c r="BS390" s="99">
        <v>50546</v>
      </c>
      <c r="BT390" s="99">
        <v>50552</v>
      </c>
      <c r="BU390" s="99">
        <v>50419</v>
      </c>
      <c r="BV390" s="99">
        <v>50441</v>
      </c>
      <c r="BW390" s="99">
        <v>0</v>
      </c>
      <c r="BX390" s="99">
        <v>50421</v>
      </c>
      <c r="BY390" s="99">
        <v>50422</v>
      </c>
      <c r="BZ390" s="99">
        <v>50535</v>
      </c>
      <c r="CA390" s="99">
        <v>0</v>
      </c>
      <c r="CB390" s="99">
        <v>50424</v>
      </c>
      <c r="CC390" s="99">
        <v>50425</v>
      </c>
      <c r="CD390" s="99">
        <v>50426</v>
      </c>
      <c r="CE390" s="99">
        <v>50537</v>
      </c>
      <c r="CF390" s="99">
        <v>50427</v>
      </c>
      <c r="CG390" s="99">
        <v>50428</v>
      </c>
      <c r="CH390" s="99">
        <v>50429</v>
      </c>
      <c r="CI390" s="99">
        <v>50431</v>
      </c>
      <c r="CJ390" s="99">
        <v>50430</v>
      </c>
      <c r="CK390" s="99">
        <v>50432</v>
      </c>
      <c r="CL390" s="99">
        <v>50453</v>
      </c>
      <c r="CM390" s="99">
        <v>50433</v>
      </c>
      <c r="CN390" s="99">
        <v>50435</v>
      </c>
      <c r="CO390" s="99">
        <v>50436</v>
      </c>
      <c r="CP390" s="99">
        <v>50499</v>
      </c>
      <c r="CQ390" s="99">
        <v>50438</v>
      </c>
      <c r="CR390" s="99">
        <v>50439</v>
      </c>
    </row>
    <row r="391" spans="1:96" x14ac:dyDescent="0.3">
      <c r="A391" s="99">
        <v>906</v>
      </c>
      <c r="B391" s="314">
        <v>906</v>
      </c>
      <c r="C391" s="99" t="s">
        <v>1795</v>
      </c>
      <c r="D391" s="99" t="s">
        <v>903</v>
      </c>
      <c r="F391" s="99">
        <v>1</v>
      </c>
      <c r="G391" s="99">
        <v>1</v>
      </c>
      <c r="H391" s="99">
        <v>1</v>
      </c>
      <c r="I391" s="99">
        <v>1</v>
      </c>
      <c r="J391" s="99">
        <v>1</v>
      </c>
      <c r="K391" s="99">
        <v>1</v>
      </c>
      <c r="L391" s="99">
        <v>1</v>
      </c>
      <c r="M391" s="99">
        <v>1</v>
      </c>
      <c r="N391" s="99">
        <v>1</v>
      </c>
      <c r="O391" s="99">
        <v>1</v>
      </c>
      <c r="P391" s="99">
        <v>1</v>
      </c>
      <c r="Q391" s="99">
        <v>1</v>
      </c>
      <c r="R391" s="99">
        <v>1</v>
      </c>
      <c r="S391" s="99">
        <v>1</v>
      </c>
      <c r="T391" s="99">
        <v>1</v>
      </c>
      <c r="U391" s="99">
        <v>1</v>
      </c>
      <c r="V391" s="99">
        <v>1</v>
      </c>
      <c r="W391" s="99">
        <v>1</v>
      </c>
      <c r="X391" s="99">
        <v>1</v>
      </c>
      <c r="Y391" s="99">
        <v>1</v>
      </c>
      <c r="Z391" s="99">
        <v>1</v>
      </c>
      <c r="AA391" s="99">
        <v>1</v>
      </c>
      <c r="AB391" s="99">
        <v>1</v>
      </c>
      <c r="AC391" s="99">
        <v>1</v>
      </c>
      <c r="AD391" s="99">
        <v>1</v>
      </c>
      <c r="AE391" s="99">
        <v>1</v>
      </c>
      <c r="AF391" s="99">
        <v>1</v>
      </c>
      <c r="AG391" s="99">
        <v>1</v>
      </c>
      <c r="AH391" s="99">
        <v>1</v>
      </c>
      <c r="AI391" s="99">
        <v>1</v>
      </c>
      <c r="AJ391" s="99">
        <v>1</v>
      </c>
      <c r="AK391" s="99">
        <v>1</v>
      </c>
      <c r="AL391" s="99">
        <v>1</v>
      </c>
      <c r="AM391" s="99">
        <v>1</v>
      </c>
      <c r="AN391" s="99">
        <v>1</v>
      </c>
      <c r="AO391" s="99">
        <v>1</v>
      </c>
      <c r="AP391" s="99">
        <v>1</v>
      </c>
      <c r="AQ391" s="99">
        <v>1</v>
      </c>
      <c r="AR391" s="99">
        <v>0</v>
      </c>
      <c r="AS391" s="99">
        <v>1</v>
      </c>
      <c r="AT391" s="99">
        <v>1</v>
      </c>
      <c r="AU391" s="99">
        <v>1</v>
      </c>
      <c r="AV391" s="99">
        <v>1</v>
      </c>
      <c r="AW391" s="99">
        <v>1</v>
      </c>
      <c r="AX391" s="99">
        <v>1</v>
      </c>
      <c r="AY391" s="99">
        <v>1</v>
      </c>
      <c r="AZ391" s="99">
        <v>1</v>
      </c>
      <c r="BA391" s="99">
        <v>1</v>
      </c>
      <c r="BB391" s="99">
        <v>1</v>
      </c>
      <c r="BC391" s="99">
        <v>1</v>
      </c>
      <c r="BD391" s="99">
        <v>1</v>
      </c>
      <c r="BE391" s="99">
        <v>1</v>
      </c>
      <c r="BF391" s="99">
        <v>1</v>
      </c>
      <c r="BG391" s="99">
        <v>1</v>
      </c>
      <c r="BH391" s="99">
        <v>1</v>
      </c>
      <c r="BI391" s="99">
        <v>1</v>
      </c>
      <c r="BJ391" s="99">
        <v>1</v>
      </c>
      <c r="BK391" s="99">
        <v>1</v>
      </c>
      <c r="BL391" s="99">
        <v>1</v>
      </c>
      <c r="BM391" s="99">
        <v>1</v>
      </c>
      <c r="BN391" s="99">
        <v>1</v>
      </c>
      <c r="BO391" s="99">
        <v>1</v>
      </c>
      <c r="BP391" s="99">
        <v>1</v>
      </c>
      <c r="BQ391" s="99">
        <v>1</v>
      </c>
      <c r="BR391" s="99">
        <v>1</v>
      </c>
      <c r="BS391" s="99">
        <v>1</v>
      </c>
      <c r="BT391" s="99">
        <v>1</v>
      </c>
      <c r="BU391" s="99">
        <v>1</v>
      </c>
      <c r="BV391" s="99">
        <v>1</v>
      </c>
      <c r="BW391" s="99">
        <v>0</v>
      </c>
      <c r="BX391" s="99">
        <v>1</v>
      </c>
      <c r="BY391" s="99">
        <v>1</v>
      </c>
      <c r="BZ391" s="99">
        <v>1</v>
      </c>
      <c r="CA391" s="99">
        <v>0</v>
      </c>
      <c r="CB391" s="99">
        <v>1</v>
      </c>
      <c r="CC391" s="99">
        <v>1</v>
      </c>
      <c r="CD391" s="99">
        <v>1</v>
      </c>
      <c r="CE391" s="99">
        <v>1</v>
      </c>
      <c r="CF391" s="99">
        <v>1</v>
      </c>
      <c r="CG391" s="99">
        <v>1</v>
      </c>
      <c r="CH391" s="99">
        <v>1</v>
      </c>
      <c r="CI391" s="99">
        <v>1</v>
      </c>
      <c r="CJ391" s="99">
        <v>1</v>
      </c>
      <c r="CK391" s="99">
        <v>1</v>
      </c>
      <c r="CL391" s="99">
        <v>1</v>
      </c>
      <c r="CM391" s="99">
        <v>1</v>
      </c>
      <c r="CN391" s="99">
        <v>1</v>
      </c>
      <c r="CO391" s="99">
        <v>1</v>
      </c>
      <c r="CP391" s="99">
        <v>1</v>
      </c>
      <c r="CQ391" s="99">
        <v>1</v>
      </c>
      <c r="CR391" s="99">
        <v>1</v>
      </c>
    </row>
    <row r="392" spans="1:96" x14ac:dyDescent="0.3">
      <c r="A392" s="99">
        <v>907</v>
      </c>
      <c r="B392" s="314">
        <v>907</v>
      </c>
      <c r="C392" s="99" t="s">
        <v>1795</v>
      </c>
      <c r="D392" s="99" t="s">
        <v>904</v>
      </c>
      <c r="F392" s="99">
        <v>1</v>
      </c>
      <c r="G392" s="99">
        <v>2</v>
      </c>
      <c r="H392" s="99">
        <v>2</v>
      </c>
      <c r="I392" s="99">
        <v>2</v>
      </c>
      <c r="J392" s="99">
        <v>1</v>
      </c>
      <c r="K392" s="99">
        <v>1</v>
      </c>
      <c r="L392" s="99">
        <v>2</v>
      </c>
      <c r="M392" s="99">
        <v>1</v>
      </c>
      <c r="N392" s="99">
        <v>1</v>
      </c>
      <c r="O392" s="99">
        <v>1</v>
      </c>
      <c r="P392" s="99">
        <v>2</v>
      </c>
      <c r="Q392" s="99">
        <v>2</v>
      </c>
      <c r="R392" s="99">
        <v>2</v>
      </c>
      <c r="S392" s="99">
        <v>1</v>
      </c>
      <c r="T392" s="99">
        <v>2</v>
      </c>
      <c r="U392" s="99">
        <v>2</v>
      </c>
      <c r="V392" s="99">
        <v>2</v>
      </c>
      <c r="W392" s="99">
        <v>2</v>
      </c>
      <c r="X392" s="99">
        <v>1</v>
      </c>
      <c r="Y392" s="99">
        <v>2</v>
      </c>
      <c r="Z392" s="99">
        <v>2</v>
      </c>
      <c r="AA392" s="99">
        <v>1</v>
      </c>
      <c r="AB392" s="99">
        <v>2</v>
      </c>
      <c r="AC392" s="99">
        <v>1</v>
      </c>
      <c r="AD392" s="99">
        <v>1</v>
      </c>
      <c r="AE392" s="99">
        <v>1</v>
      </c>
      <c r="AF392" s="99">
        <v>2</v>
      </c>
      <c r="AG392" s="99">
        <v>2</v>
      </c>
      <c r="AH392" s="99">
        <v>2</v>
      </c>
      <c r="AI392" s="99">
        <v>2</v>
      </c>
      <c r="AJ392" s="99">
        <v>1</v>
      </c>
      <c r="AK392" s="99">
        <v>2</v>
      </c>
      <c r="AL392" s="99">
        <v>2</v>
      </c>
      <c r="AM392" s="99">
        <v>2</v>
      </c>
      <c r="AN392" s="99">
        <v>2</v>
      </c>
      <c r="AO392" s="99">
        <v>1</v>
      </c>
      <c r="AP392" s="99">
        <v>1</v>
      </c>
      <c r="AQ392" s="99">
        <v>2</v>
      </c>
      <c r="AR392" s="99">
        <v>0</v>
      </c>
      <c r="AS392" s="99">
        <v>2</v>
      </c>
      <c r="AT392" s="99">
        <v>1</v>
      </c>
      <c r="AU392" s="99">
        <v>1</v>
      </c>
      <c r="AV392" s="99">
        <v>1</v>
      </c>
      <c r="AW392" s="99">
        <v>1</v>
      </c>
      <c r="AX392" s="99">
        <v>1</v>
      </c>
      <c r="AY392" s="99">
        <v>1</v>
      </c>
      <c r="AZ392" s="99">
        <v>2</v>
      </c>
      <c r="BA392" s="99">
        <v>1</v>
      </c>
      <c r="BB392" s="99">
        <v>1</v>
      </c>
      <c r="BC392" s="99">
        <v>2</v>
      </c>
      <c r="BD392" s="99">
        <v>2</v>
      </c>
      <c r="BE392" s="99">
        <v>2</v>
      </c>
      <c r="BF392" s="99">
        <v>1</v>
      </c>
      <c r="BG392" s="99">
        <v>2</v>
      </c>
      <c r="BH392" s="99">
        <v>1</v>
      </c>
      <c r="BI392" s="99">
        <v>2</v>
      </c>
      <c r="BJ392" s="99">
        <v>2</v>
      </c>
      <c r="BK392" s="99">
        <v>2</v>
      </c>
      <c r="BL392" s="99">
        <v>2</v>
      </c>
      <c r="BM392" s="99">
        <v>2</v>
      </c>
      <c r="BN392" s="99">
        <v>2</v>
      </c>
      <c r="BO392" s="99">
        <v>1</v>
      </c>
      <c r="BP392" s="99">
        <v>2</v>
      </c>
      <c r="BQ392" s="99">
        <v>2</v>
      </c>
      <c r="BR392" s="99">
        <v>2</v>
      </c>
      <c r="BS392" s="99">
        <v>1</v>
      </c>
      <c r="BT392" s="99">
        <v>2</v>
      </c>
      <c r="BU392" s="99">
        <v>2</v>
      </c>
      <c r="BV392" s="99">
        <v>1</v>
      </c>
      <c r="BW392" s="99">
        <v>0</v>
      </c>
      <c r="BX392" s="99">
        <v>2</v>
      </c>
      <c r="BY392" s="99">
        <v>2</v>
      </c>
      <c r="BZ392" s="99">
        <v>1</v>
      </c>
      <c r="CA392" s="99">
        <v>0</v>
      </c>
      <c r="CB392" s="99">
        <v>2</v>
      </c>
      <c r="CC392" s="99">
        <v>2</v>
      </c>
      <c r="CD392" s="99">
        <v>2</v>
      </c>
      <c r="CE392" s="99">
        <v>2</v>
      </c>
      <c r="CF392" s="99">
        <v>2</v>
      </c>
      <c r="CG392" s="99">
        <v>2</v>
      </c>
      <c r="CH392" s="99">
        <v>2</v>
      </c>
      <c r="CI392" s="99">
        <v>2</v>
      </c>
      <c r="CJ392" s="99">
        <v>2</v>
      </c>
      <c r="CK392" s="99">
        <v>2</v>
      </c>
      <c r="CL392" s="99">
        <v>1</v>
      </c>
      <c r="CM392" s="99">
        <v>2</v>
      </c>
      <c r="CN392" s="99">
        <v>1</v>
      </c>
      <c r="CO392" s="99">
        <v>2</v>
      </c>
      <c r="CP392" s="99">
        <v>1</v>
      </c>
      <c r="CQ392" s="99">
        <v>1</v>
      </c>
      <c r="CR392" s="99">
        <v>2</v>
      </c>
    </row>
    <row r="393" spans="1:96" x14ac:dyDescent="0.3">
      <c r="A393" s="99">
        <v>951</v>
      </c>
      <c r="B393" s="314">
        <v>951</v>
      </c>
      <c r="C393" s="99" t="s">
        <v>1795</v>
      </c>
      <c r="D393" s="99" t="s">
        <v>905</v>
      </c>
      <c r="F393" s="99">
        <v>2</v>
      </c>
      <c r="G393" s="99">
        <v>2</v>
      </c>
      <c r="H393" s="99">
        <v>2</v>
      </c>
      <c r="I393" s="99">
        <v>2</v>
      </c>
      <c r="J393" s="99">
        <v>2</v>
      </c>
      <c r="K393" s="99">
        <v>2</v>
      </c>
      <c r="L393" s="99">
        <v>2</v>
      </c>
      <c r="M393" s="99">
        <v>2</v>
      </c>
      <c r="N393" s="99">
        <v>2</v>
      </c>
      <c r="O393" s="99">
        <v>2</v>
      </c>
      <c r="P393" s="99">
        <v>2</v>
      </c>
      <c r="Q393" s="99">
        <v>2</v>
      </c>
      <c r="R393" s="99">
        <v>2</v>
      </c>
      <c r="S393" s="99">
        <v>2</v>
      </c>
      <c r="T393" s="99">
        <v>2</v>
      </c>
      <c r="U393" s="99">
        <v>2</v>
      </c>
      <c r="V393" s="99">
        <v>2</v>
      </c>
      <c r="W393" s="99">
        <v>2</v>
      </c>
      <c r="X393" s="99">
        <v>2</v>
      </c>
      <c r="Y393" s="99">
        <v>2</v>
      </c>
      <c r="Z393" s="99">
        <v>2</v>
      </c>
      <c r="AA393" s="99">
        <v>2</v>
      </c>
      <c r="AB393" s="99">
        <v>2</v>
      </c>
      <c r="AC393" s="99">
        <v>2</v>
      </c>
      <c r="AD393" s="99">
        <v>2</v>
      </c>
      <c r="AE393" s="99">
        <v>2</v>
      </c>
      <c r="AF393" s="99">
        <v>2</v>
      </c>
      <c r="AG393" s="99">
        <v>2</v>
      </c>
      <c r="AH393" s="99">
        <v>2</v>
      </c>
      <c r="AI393" s="99">
        <v>2</v>
      </c>
      <c r="AJ393" s="99">
        <v>2</v>
      </c>
      <c r="AK393" s="99">
        <v>2</v>
      </c>
      <c r="AL393" s="99">
        <v>2</v>
      </c>
      <c r="AM393" s="99">
        <v>2</v>
      </c>
      <c r="AN393" s="99">
        <v>2</v>
      </c>
      <c r="AO393" s="99">
        <v>2</v>
      </c>
      <c r="AP393" s="99">
        <v>2</v>
      </c>
      <c r="AQ393" s="99">
        <v>2</v>
      </c>
      <c r="AR393" s="99">
        <v>0</v>
      </c>
      <c r="AS393" s="99">
        <v>2</v>
      </c>
      <c r="AT393" s="99">
        <v>2</v>
      </c>
      <c r="AU393" s="99">
        <v>1</v>
      </c>
      <c r="AV393" s="99">
        <v>1</v>
      </c>
      <c r="AW393" s="99">
        <v>2</v>
      </c>
      <c r="AX393" s="99">
        <v>2</v>
      </c>
      <c r="AY393" s="99">
        <v>2</v>
      </c>
      <c r="AZ393" s="99">
        <v>2</v>
      </c>
      <c r="BA393" s="99">
        <v>2</v>
      </c>
      <c r="BB393" s="99">
        <v>2</v>
      </c>
      <c r="BC393" s="99">
        <v>2</v>
      </c>
      <c r="BD393" s="99">
        <v>2</v>
      </c>
      <c r="BE393" s="99">
        <v>2</v>
      </c>
      <c r="BF393" s="99">
        <v>1</v>
      </c>
      <c r="BG393" s="99">
        <v>2</v>
      </c>
      <c r="BH393" s="99">
        <v>2</v>
      </c>
      <c r="BI393" s="99">
        <v>2</v>
      </c>
      <c r="BJ393" s="99">
        <v>2</v>
      </c>
      <c r="BK393" s="99">
        <v>2</v>
      </c>
      <c r="BL393" s="99">
        <v>2</v>
      </c>
      <c r="BM393" s="99">
        <v>2</v>
      </c>
      <c r="BN393" s="99">
        <v>2</v>
      </c>
      <c r="BO393" s="99">
        <v>2</v>
      </c>
      <c r="BP393" s="99">
        <v>2</v>
      </c>
      <c r="BQ393" s="99">
        <v>2</v>
      </c>
      <c r="BR393" s="99">
        <v>2</v>
      </c>
      <c r="BS393" s="99">
        <v>2</v>
      </c>
      <c r="BT393" s="99">
        <v>2</v>
      </c>
      <c r="BU393" s="99">
        <v>2</v>
      </c>
      <c r="BV393" s="99">
        <v>2</v>
      </c>
      <c r="BW393" s="99">
        <v>0</v>
      </c>
      <c r="BX393" s="99">
        <v>2</v>
      </c>
      <c r="BY393" s="99">
        <v>2</v>
      </c>
      <c r="BZ393" s="99">
        <v>2</v>
      </c>
      <c r="CA393" s="99">
        <v>0</v>
      </c>
      <c r="CB393" s="99">
        <v>2</v>
      </c>
      <c r="CC393" s="99">
        <v>2</v>
      </c>
      <c r="CD393" s="99">
        <v>2</v>
      </c>
      <c r="CE393" s="99">
        <v>2</v>
      </c>
      <c r="CF393" s="99">
        <v>2</v>
      </c>
      <c r="CG393" s="99">
        <v>2</v>
      </c>
      <c r="CH393" s="99">
        <v>2</v>
      </c>
      <c r="CI393" s="99">
        <v>2</v>
      </c>
      <c r="CJ393" s="99">
        <v>2</v>
      </c>
      <c r="CK393" s="99">
        <v>2</v>
      </c>
      <c r="CL393" s="99">
        <v>2</v>
      </c>
      <c r="CM393" s="99">
        <v>2</v>
      </c>
      <c r="CN393" s="99">
        <v>2</v>
      </c>
      <c r="CO393" s="99">
        <v>2</v>
      </c>
      <c r="CP393" s="99">
        <v>2</v>
      </c>
      <c r="CQ393" s="99">
        <v>2</v>
      </c>
      <c r="CR393" s="99">
        <v>2</v>
      </c>
    </row>
    <row r="394" spans="1:96" x14ac:dyDescent="0.3">
      <c r="A394" s="99">
        <v>953</v>
      </c>
      <c r="B394" s="314">
        <v>953</v>
      </c>
      <c r="C394" s="99" t="s">
        <v>1795</v>
      </c>
      <c r="D394" s="99" t="s">
        <v>906</v>
      </c>
      <c r="F394" s="99">
        <v>2</v>
      </c>
      <c r="G394" s="99">
        <v>2</v>
      </c>
      <c r="H394" s="99">
        <v>2</v>
      </c>
      <c r="I394" s="99">
        <v>2</v>
      </c>
      <c r="J394" s="99">
        <v>2</v>
      </c>
      <c r="K394" s="99">
        <v>2</v>
      </c>
      <c r="L394" s="99">
        <v>2</v>
      </c>
      <c r="M394" s="99">
        <v>2</v>
      </c>
      <c r="N394" s="99">
        <v>2</v>
      </c>
      <c r="O394" s="99">
        <v>2</v>
      </c>
      <c r="P394" s="99">
        <v>2</v>
      </c>
      <c r="Q394" s="99">
        <v>2</v>
      </c>
      <c r="R394" s="99">
        <v>2</v>
      </c>
      <c r="S394" s="99">
        <v>2</v>
      </c>
      <c r="T394" s="99">
        <v>2</v>
      </c>
      <c r="U394" s="99">
        <v>2</v>
      </c>
      <c r="V394" s="99">
        <v>2</v>
      </c>
      <c r="W394" s="99">
        <v>2</v>
      </c>
      <c r="X394" s="99">
        <v>2</v>
      </c>
      <c r="Y394" s="99">
        <v>2</v>
      </c>
      <c r="Z394" s="99">
        <v>2</v>
      </c>
      <c r="AA394" s="99">
        <v>2</v>
      </c>
      <c r="AB394" s="99">
        <v>2</v>
      </c>
      <c r="AC394" s="99">
        <v>2</v>
      </c>
      <c r="AD394" s="99">
        <v>2</v>
      </c>
      <c r="AE394" s="99">
        <v>2</v>
      </c>
      <c r="AF394" s="99">
        <v>2</v>
      </c>
      <c r="AG394" s="99">
        <v>2</v>
      </c>
      <c r="AH394" s="99">
        <v>2</v>
      </c>
      <c r="AI394" s="99">
        <v>2</v>
      </c>
      <c r="AJ394" s="99">
        <v>2</v>
      </c>
      <c r="AK394" s="99">
        <v>2</v>
      </c>
      <c r="AL394" s="99">
        <v>2</v>
      </c>
      <c r="AM394" s="99">
        <v>2</v>
      </c>
      <c r="AN394" s="99">
        <v>2</v>
      </c>
      <c r="AO394" s="99">
        <v>2</v>
      </c>
      <c r="AP394" s="99">
        <v>2</v>
      </c>
      <c r="AQ394" s="99">
        <v>2</v>
      </c>
      <c r="AR394" s="99">
        <v>0</v>
      </c>
      <c r="AS394" s="99">
        <v>2</v>
      </c>
      <c r="AT394" s="99">
        <v>2</v>
      </c>
      <c r="AU394" s="99">
        <v>2</v>
      </c>
      <c r="AV394" s="99">
        <v>2</v>
      </c>
      <c r="AW394" s="99">
        <v>2</v>
      </c>
      <c r="AX394" s="99">
        <v>2</v>
      </c>
      <c r="AY394" s="99">
        <v>2</v>
      </c>
      <c r="AZ394" s="99">
        <v>2</v>
      </c>
      <c r="BA394" s="99">
        <v>2</v>
      </c>
      <c r="BB394" s="99">
        <v>2</v>
      </c>
      <c r="BC394" s="99">
        <v>2</v>
      </c>
      <c r="BD394" s="99">
        <v>2</v>
      </c>
      <c r="BE394" s="99">
        <v>2</v>
      </c>
      <c r="BF394" s="99">
        <v>2</v>
      </c>
      <c r="BG394" s="99">
        <v>2</v>
      </c>
      <c r="BH394" s="99">
        <v>2</v>
      </c>
      <c r="BI394" s="99">
        <v>2</v>
      </c>
      <c r="BJ394" s="99">
        <v>2</v>
      </c>
      <c r="BK394" s="99">
        <v>2</v>
      </c>
      <c r="BL394" s="99">
        <v>2</v>
      </c>
      <c r="BM394" s="99">
        <v>2</v>
      </c>
      <c r="BN394" s="99">
        <v>2</v>
      </c>
      <c r="BO394" s="99">
        <v>2</v>
      </c>
      <c r="BP394" s="99">
        <v>2</v>
      </c>
      <c r="BQ394" s="99">
        <v>2</v>
      </c>
      <c r="BR394" s="99">
        <v>2</v>
      </c>
      <c r="BS394" s="99">
        <v>2</v>
      </c>
      <c r="BT394" s="99">
        <v>2</v>
      </c>
      <c r="BU394" s="99">
        <v>2</v>
      </c>
      <c r="BV394" s="99">
        <v>2</v>
      </c>
      <c r="BW394" s="99">
        <v>0</v>
      </c>
      <c r="BX394" s="99">
        <v>2</v>
      </c>
      <c r="BY394" s="99">
        <v>2</v>
      </c>
      <c r="BZ394" s="99">
        <v>2</v>
      </c>
      <c r="CA394" s="99">
        <v>0</v>
      </c>
      <c r="CB394" s="99">
        <v>2</v>
      </c>
      <c r="CC394" s="99">
        <v>2</v>
      </c>
      <c r="CD394" s="99">
        <v>2</v>
      </c>
      <c r="CE394" s="99">
        <v>2</v>
      </c>
      <c r="CF394" s="99">
        <v>2</v>
      </c>
      <c r="CG394" s="99">
        <v>2</v>
      </c>
      <c r="CH394" s="99">
        <v>2</v>
      </c>
      <c r="CI394" s="99">
        <v>2</v>
      </c>
      <c r="CJ394" s="99">
        <v>2</v>
      </c>
      <c r="CK394" s="99">
        <v>2</v>
      </c>
      <c r="CL394" s="99">
        <v>2</v>
      </c>
      <c r="CM394" s="99">
        <v>2</v>
      </c>
      <c r="CN394" s="99">
        <v>2</v>
      </c>
      <c r="CO394" s="99">
        <v>2</v>
      </c>
      <c r="CP394" s="99">
        <v>2</v>
      </c>
      <c r="CQ394" s="99">
        <v>2</v>
      </c>
      <c r="CR394" s="99">
        <v>2</v>
      </c>
    </row>
    <row r="395" spans="1:96" x14ac:dyDescent="0.3">
      <c r="A395" s="99">
        <v>955</v>
      </c>
      <c r="B395" s="314">
        <v>955</v>
      </c>
      <c r="C395" s="99" t="s">
        <v>1795</v>
      </c>
      <c r="D395" s="99" t="s">
        <v>916</v>
      </c>
      <c r="F395" s="99">
        <v>1</v>
      </c>
      <c r="G395" s="99">
        <v>0</v>
      </c>
      <c r="H395" s="99">
        <v>0</v>
      </c>
      <c r="I395" s="99">
        <v>0</v>
      </c>
      <c r="J395" s="99">
        <v>0</v>
      </c>
      <c r="K395" s="99">
        <v>0</v>
      </c>
      <c r="L395" s="99">
        <v>0</v>
      </c>
      <c r="M395" s="99">
        <v>0</v>
      </c>
      <c r="N395" s="99">
        <v>0</v>
      </c>
      <c r="O395" s="99">
        <v>0</v>
      </c>
      <c r="P395" s="99">
        <v>0</v>
      </c>
      <c r="Q395" s="99">
        <v>0</v>
      </c>
      <c r="R395" s="99">
        <v>0</v>
      </c>
      <c r="S395" s="99">
        <v>0</v>
      </c>
      <c r="T395" s="99">
        <v>0</v>
      </c>
      <c r="U395" s="99">
        <v>0</v>
      </c>
      <c r="V395" s="99">
        <v>0</v>
      </c>
      <c r="W395" s="99">
        <v>0</v>
      </c>
      <c r="X395" s="99">
        <v>0</v>
      </c>
      <c r="Y395" s="99">
        <v>0</v>
      </c>
      <c r="Z395" s="99">
        <v>0</v>
      </c>
      <c r="AA395" s="99">
        <v>1</v>
      </c>
      <c r="AB395" s="99">
        <v>0</v>
      </c>
      <c r="AC395" s="99">
        <v>0</v>
      </c>
      <c r="AD395" s="99">
        <v>1</v>
      </c>
      <c r="AE395" s="99">
        <v>3</v>
      </c>
      <c r="AF395" s="99">
        <v>0</v>
      </c>
      <c r="AG395" s="99">
        <v>0</v>
      </c>
      <c r="AH395" s="99">
        <v>0</v>
      </c>
      <c r="AI395" s="99">
        <v>0</v>
      </c>
      <c r="AJ395" s="99">
        <v>0</v>
      </c>
      <c r="AK395" s="99">
        <v>0</v>
      </c>
      <c r="AL395" s="99">
        <v>0</v>
      </c>
      <c r="AM395" s="99">
        <v>1</v>
      </c>
      <c r="AN395" s="99">
        <v>0</v>
      </c>
      <c r="AO395" s="99">
        <v>1</v>
      </c>
      <c r="AP395" s="99">
        <v>0</v>
      </c>
      <c r="AQ395" s="99">
        <v>0</v>
      </c>
      <c r="AR395" s="99">
        <v>0</v>
      </c>
      <c r="AS395" s="99">
        <v>0</v>
      </c>
      <c r="AT395" s="99">
        <v>0</v>
      </c>
      <c r="AU395" s="99">
        <v>1</v>
      </c>
      <c r="AV395" s="99">
        <v>0</v>
      </c>
      <c r="AW395" s="99">
        <v>0</v>
      </c>
      <c r="AX395" s="99">
        <v>0</v>
      </c>
      <c r="AY395" s="99">
        <v>0</v>
      </c>
      <c r="AZ395" s="99">
        <v>0</v>
      </c>
      <c r="BA395" s="99">
        <v>0</v>
      </c>
      <c r="BB395" s="99">
        <v>0</v>
      </c>
      <c r="BC395" s="99">
        <v>0</v>
      </c>
      <c r="BD395" s="99">
        <v>0</v>
      </c>
      <c r="BE395" s="99">
        <v>3</v>
      </c>
      <c r="BF395" s="99">
        <v>0</v>
      </c>
      <c r="BG395" s="99">
        <v>0</v>
      </c>
      <c r="BH395" s="99">
        <v>0</v>
      </c>
      <c r="BI395" s="99">
        <v>0</v>
      </c>
      <c r="BJ395" s="99">
        <v>0</v>
      </c>
      <c r="BK395" s="99">
        <v>0</v>
      </c>
      <c r="BL395" s="99">
        <v>0</v>
      </c>
      <c r="BM395" s="99">
        <v>0</v>
      </c>
      <c r="BN395" s="99">
        <v>0</v>
      </c>
      <c r="BO395" s="99">
        <v>0</v>
      </c>
      <c r="BP395" s="99">
        <v>0</v>
      </c>
      <c r="BQ395" s="99">
        <v>0</v>
      </c>
      <c r="BR395" s="99">
        <v>0</v>
      </c>
      <c r="BS395" s="99">
        <v>0</v>
      </c>
      <c r="BT395" s="99">
        <v>0</v>
      </c>
      <c r="BU395" s="99">
        <v>0</v>
      </c>
      <c r="BV395" s="99">
        <v>0</v>
      </c>
      <c r="BW395" s="99">
        <v>0</v>
      </c>
      <c r="BX395" s="99">
        <v>0</v>
      </c>
      <c r="BY395" s="99">
        <v>0</v>
      </c>
      <c r="BZ395" s="99">
        <v>0</v>
      </c>
      <c r="CA395" s="99">
        <v>0</v>
      </c>
      <c r="CB395" s="99">
        <v>0</v>
      </c>
      <c r="CC395" s="99">
        <v>0</v>
      </c>
      <c r="CD395" s="99">
        <v>0</v>
      </c>
      <c r="CE395" s="99">
        <v>0</v>
      </c>
      <c r="CF395" s="99">
        <v>1</v>
      </c>
      <c r="CG395" s="99">
        <v>0</v>
      </c>
      <c r="CH395" s="99">
        <v>0</v>
      </c>
      <c r="CI395" s="99">
        <v>0</v>
      </c>
      <c r="CJ395" s="99">
        <v>0</v>
      </c>
      <c r="CK395" s="99">
        <v>0</v>
      </c>
      <c r="CL395" s="99">
        <v>0</v>
      </c>
      <c r="CM395" s="99">
        <v>0</v>
      </c>
      <c r="CN395" s="99">
        <v>0</v>
      </c>
      <c r="CO395" s="99">
        <v>0</v>
      </c>
      <c r="CP395" s="99">
        <v>0</v>
      </c>
      <c r="CQ395" s="99">
        <v>0</v>
      </c>
      <c r="CR395" s="99">
        <v>0</v>
      </c>
    </row>
    <row r="396" spans="1:96" x14ac:dyDescent="0.3">
      <c r="A396" s="99">
        <v>957</v>
      </c>
      <c r="B396" s="314">
        <v>957</v>
      </c>
      <c r="C396" s="99" t="s">
        <v>1795</v>
      </c>
      <c r="D396" s="99" t="s">
        <v>917</v>
      </c>
      <c r="F396" s="99">
        <v>0</v>
      </c>
      <c r="G396" s="99">
        <v>0</v>
      </c>
      <c r="H396" s="99">
        <v>0</v>
      </c>
      <c r="I396" s="99">
        <v>1</v>
      </c>
      <c r="J396" s="99">
        <v>0</v>
      </c>
      <c r="K396" s="99">
        <v>0</v>
      </c>
      <c r="L396" s="99">
        <v>0</v>
      </c>
      <c r="M396" s="99">
        <v>0</v>
      </c>
      <c r="N396" s="99">
        <v>0</v>
      </c>
      <c r="O396" s="99">
        <v>0</v>
      </c>
      <c r="P396" s="99">
        <v>0</v>
      </c>
      <c r="Q396" s="99">
        <v>0</v>
      </c>
      <c r="R396" s="99">
        <v>0</v>
      </c>
      <c r="S396" s="99">
        <v>1</v>
      </c>
      <c r="T396" s="99">
        <v>0</v>
      </c>
      <c r="U396" s="99">
        <v>0</v>
      </c>
      <c r="V396" s="99">
        <v>2</v>
      </c>
      <c r="W396" s="99">
        <v>0</v>
      </c>
      <c r="X396" s="99">
        <v>0</v>
      </c>
      <c r="Y396" s="99">
        <v>0</v>
      </c>
      <c r="Z396" s="99">
        <v>0</v>
      </c>
      <c r="AA396" s="99">
        <v>0</v>
      </c>
      <c r="AB396" s="99">
        <v>0</v>
      </c>
      <c r="AC396" s="99">
        <v>1</v>
      </c>
      <c r="AD396" s="99">
        <v>0</v>
      </c>
      <c r="AE396" s="99">
        <v>0</v>
      </c>
      <c r="AF396" s="99">
        <v>0</v>
      </c>
      <c r="AG396" s="99">
        <v>0</v>
      </c>
      <c r="AH396" s="99">
        <v>0</v>
      </c>
      <c r="AI396" s="99">
        <v>0</v>
      </c>
      <c r="AJ396" s="99">
        <v>1</v>
      </c>
      <c r="AK396" s="99">
        <v>0</v>
      </c>
      <c r="AL396" s="99">
        <v>0</v>
      </c>
      <c r="AM396" s="99">
        <v>0</v>
      </c>
      <c r="AN396" s="99">
        <v>4</v>
      </c>
      <c r="AO396" s="99">
        <v>0</v>
      </c>
      <c r="AP396" s="99">
        <v>0</v>
      </c>
      <c r="AQ396" s="99">
        <v>0</v>
      </c>
      <c r="AR396" s="99">
        <v>0</v>
      </c>
      <c r="AS396" s="99">
        <v>0</v>
      </c>
      <c r="AT396" s="99">
        <v>1</v>
      </c>
      <c r="AU396" s="99">
        <v>0</v>
      </c>
      <c r="AV396" s="99">
        <v>0</v>
      </c>
      <c r="AW396" s="99">
        <v>0</v>
      </c>
      <c r="AX396" s="99">
        <v>0</v>
      </c>
      <c r="AY396" s="99">
        <v>0</v>
      </c>
      <c r="AZ396" s="99">
        <v>0</v>
      </c>
      <c r="BA396" s="99">
        <v>0</v>
      </c>
      <c r="BB396" s="99">
        <v>0</v>
      </c>
      <c r="BC396" s="99">
        <v>0</v>
      </c>
      <c r="BD396" s="99">
        <v>1</v>
      </c>
      <c r="BE396" s="99">
        <v>0</v>
      </c>
      <c r="BF396" s="99">
        <v>0</v>
      </c>
      <c r="BG396" s="99">
        <v>0</v>
      </c>
      <c r="BH396" s="99">
        <v>0</v>
      </c>
      <c r="BI396" s="99">
        <v>1</v>
      </c>
      <c r="BJ396" s="99">
        <v>0</v>
      </c>
      <c r="BK396" s="99">
        <v>0</v>
      </c>
      <c r="BL396" s="99">
        <v>0</v>
      </c>
      <c r="BM396" s="99">
        <v>0</v>
      </c>
      <c r="BN396" s="99">
        <v>0</v>
      </c>
      <c r="BO396" s="99">
        <v>0</v>
      </c>
      <c r="BP396" s="99">
        <v>0</v>
      </c>
      <c r="BQ396" s="99">
        <v>0</v>
      </c>
      <c r="BR396" s="99">
        <v>0</v>
      </c>
      <c r="BS396" s="99">
        <v>0</v>
      </c>
      <c r="BT396" s="99">
        <v>0</v>
      </c>
      <c r="BU396" s="99">
        <v>0</v>
      </c>
      <c r="BV396" s="99">
        <v>0</v>
      </c>
      <c r="BW396" s="99">
        <v>0</v>
      </c>
      <c r="BX396" s="99">
        <v>1</v>
      </c>
      <c r="BY396" s="99">
        <v>1</v>
      </c>
      <c r="BZ396" s="99">
        <v>0</v>
      </c>
      <c r="CA396" s="99">
        <v>0</v>
      </c>
      <c r="CB396" s="99">
        <v>0</v>
      </c>
      <c r="CC396" s="99">
        <v>1</v>
      </c>
      <c r="CD396" s="99">
        <v>0</v>
      </c>
      <c r="CE396" s="99">
        <v>1</v>
      </c>
      <c r="CF396" s="99">
        <v>2</v>
      </c>
      <c r="CG396" s="99">
        <v>0</v>
      </c>
      <c r="CH396" s="99">
        <v>1</v>
      </c>
      <c r="CI396" s="99">
        <v>0</v>
      </c>
      <c r="CJ396" s="99">
        <v>0</v>
      </c>
      <c r="CK396" s="99">
        <v>0</v>
      </c>
      <c r="CL396" s="99">
        <v>0</v>
      </c>
      <c r="CM396" s="99">
        <v>0</v>
      </c>
      <c r="CN396" s="99">
        <v>1</v>
      </c>
      <c r="CO396" s="99">
        <v>0</v>
      </c>
      <c r="CP396" s="99">
        <v>0</v>
      </c>
      <c r="CQ396" s="99">
        <v>0</v>
      </c>
      <c r="CR396" s="99">
        <v>0</v>
      </c>
    </row>
    <row r="397" spans="1:96" x14ac:dyDescent="0.3">
      <c r="A397" s="99">
        <v>959</v>
      </c>
      <c r="B397" s="314">
        <v>959</v>
      </c>
      <c r="C397" s="99" t="s">
        <v>1795</v>
      </c>
      <c r="D397" s="99" t="s">
        <v>907</v>
      </c>
      <c r="F397" s="99">
        <v>3</v>
      </c>
      <c r="G397" s="99">
        <v>2</v>
      </c>
      <c r="H397" s="99">
        <v>2</v>
      </c>
      <c r="I397" s="99">
        <v>2</v>
      </c>
      <c r="J397" s="99">
        <v>2</v>
      </c>
      <c r="K397" s="99">
        <v>2</v>
      </c>
      <c r="L397" s="99">
        <v>2</v>
      </c>
      <c r="M397" s="99">
        <v>2</v>
      </c>
      <c r="N397" s="99">
        <v>2</v>
      </c>
      <c r="O397" s="99">
        <v>2</v>
      </c>
      <c r="P397" s="99">
        <v>3</v>
      </c>
      <c r="Q397" s="99">
        <v>3</v>
      </c>
      <c r="R397" s="99">
        <v>2</v>
      </c>
      <c r="S397" s="99">
        <v>2</v>
      </c>
      <c r="T397" s="99">
        <v>3</v>
      </c>
      <c r="U397" s="99">
        <v>3</v>
      </c>
      <c r="V397" s="99">
        <v>3</v>
      </c>
      <c r="W397" s="99">
        <v>2</v>
      </c>
      <c r="X397" s="99">
        <v>2</v>
      </c>
      <c r="Y397" s="99">
        <v>2</v>
      </c>
      <c r="Z397" s="99">
        <v>2</v>
      </c>
      <c r="AA397" s="99">
        <v>3</v>
      </c>
      <c r="AB397" s="99">
        <v>2</v>
      </c>
      <c r="AC397" s="99">
        <v>2</v>
      </c>
      <c r="AD397" s="99">
        <v>2</v>
      </c>
      <c r="AE397" s="99">
        <v>2</v>
      </c>
      <c r="AF397" s="99">
        <v>2</v>
      </c>
      <c r="AG397" s="99">
        <v>2</v>
      </c>
      <c r="AH397" s="99">
        <v>2</v>
      </c>
      <c r="AI397" s="99">
        <v>3</v>
      </c>
      <c r="AJ397" s="99">
        <v>3</v>
      </c>
      <c r="AK397" s="99">
        <v>2</v>
      </c>
      <c r="AL397" s="99">
        <v>2</v>
      </c>
      <c r="AM397" s="99">
        <v>2</v>
      </c>
      <c r="AN397" s="99">
        <v>2</v>
      </c>
      <c r="AO397" s="99">
        <v>2</v>
      </c>
      <c r="AP397" s="99">
        <v>2</v>
      </c>
      <c r="AQ397" s="99">
        <v>2</v>
      </c>
      <c r="AR397" s="99">
        <v>0</v>
      </c>
      <c r="AS397" s="99">
        <v>2</v>
      </c>
      <c r="AT397" s="99">
        <v>3</v>
      </c>
      <c r="AU397" s="99">
        <v>2</v>
      </c>
      <c r="AV397" s="99">
        <v>3</v>
      </c>
      <c r="AW397" s="99">
        <v>2</v>
      </c>
      <c r="AX397" s="99">
        <v>2</v>
      </c>
      <c r="AY397" s="99">
        <v>2</v>
      </c>
      <c r="AZ397" s="99">
        <v>1</v>
      </c>
      <c r="BA397" s="99">
        <v>3</v>
      </c>
      <c r="BB397" s="99">
        <v>2</v>
      </c>
      <c r="BC397" s="99">
        <v>2</v>
      </c>
      <c r="BD397" s="99">
        <v>2</v>
      </c>
      <c r="BE397" s="99">
        <v>2</v>
      </c>
      <c r="BF397" s="99">
        <v>3</v>
      </c>
      <c r="BG397" s="99">
        <v>2</v>
      </c>
      <c r="BH397" s="99">
        <v>2</v>
      </c>
      <c r="BI397" s="99">
        <v>2</v>
      </c>
      <c r="BJ397" s="99">
        <v>2</v>
      </c>
      <c r="BK397" s="99">
        <v>3</v>
      </c>
      <c r="BL397" s="99">
        <v>2</v>
      </c>
      <c r="BM397" s="99">
        <v>2</v>
      </c>
      <c r="BN397" s="99">
        <v>2</v>
      </c>
      <c r="BO397" s="99">
        <v>3</v>
      </c>
      <c r="BP397" s="99">
        <v>2</v>
      </c>
      <c r="BQ397" s="99">
        <v>2</v>
      </c>
      <c r="BR397" s="99">
        <v>2</v>
      </c>
      <c r="BS397" s="99">
        <v>3</v>
      </c>
      <c r="BT397" s="99">
        <v>3</v>
      </c>
      <c r="BU397" s="99">
        <v>2</v>
      </c>
      <c r="BV397" s="99">
        <v>2</v>
      </c>
      <c r="BW397" s="99">
        <v>0</v>
      </c>
      <c r="BX397" s="99">
        <v>2</v>
      </c>
      <c r="BY397" s="99">
        <v>2</v>
      </c>
      <c r="BZ397" s="99">
        <v>2</v>
      </c>
      <c r="CA397" s="99">
        <v>0</v>
      </c>
      <c r="CB397" s="99">
        <v>2</v>
      </c>
      <c r="CC397" s="99">
        <v>2</v>
      </c>
      <c r="CD397" s="99">
        <v>2</v>
      </c>
      <c r="CE397" s="99">
        <v>2</v>
      </c>
      <c r="CF397" s="99">
        <v>2</v>
      </c>
      <c r="CG397" s="99">
        <v>2</v>
      </c>
      <c r="CH397" s="99">
        <v>2</v>
      </c>
      <c r="CI397" s="99">
        <v>1</v>
      </c>
      <c r="CJ397" s="99">
        <v>2</v>
      </c>
      <c r="CK397" s="99">
        <v>2</v>
      </c>
      <c r="CL397" s="99">
        <v>2</v>
      </c>
      <c r="CM397" s="99">
        <v>2</v>
      </c>
      <c r="CN397" s="99">
        <v>2</v>
      </c>
      <c r="CO397" s="99">
        <v>3</v>
      </c>
      <c r="CP397" s="99">
        <v>2</v>
      </c>
      <c r="CQ397" s="99">
        <v>2</v>
      </c>
      <c r="CR397" s="99">
        <v>2</v>
      </c>
    </row>
    <row r="398" spans="1:96" x14ac:dyDescent="0.3">
      <c r="A398" s="99">
        <v>961</v>
      </c>
      <c r="B398" s="314">
        <v>961</v>
      </c>
      <c r="C398" s="99" t="s">
        <v>1795</v>
      </c>
      <c r="D398" s="99" t="s">
        <v>908</v>
      </c>
      <c r="F398" s="99">
        <v>3</v>
      </c>
      <c r="G398" s="99">
        <v>2</v>
      </c>
      <c r="H398" s="99">
        <v>2</v>
      </c>
      <c r="I398" s="99">
        <v>2</v>
      </c>
      <c r="J398" s="99">
        <v>2</v>
      </c>
      <c r="K398" s="99">
        <v>2</v>
      </c>
      <c r="L398" s="99">
        <v>2</v>
      </c>
      <c r="M398" s="99">
        <v>2</v>
      </c>
      <c r="N398" s="99">
        <v>2</v>
      </c>
      <c r="O398" s="99">
        <v>2</v>
      </c>
      <c r="P398" s="99">
        <v>3</v>
      </c>
      <c r="Q398" s="99">
        <v>3</v>
      </c>
      <c r="R398" s="99">
        <v>2</v>
      </c>
      <c r="S398" s="99">
        <v>3</v>
      </c>
      <c r="T398" s="99">
        <v>3</v>
      </c>
      <c r="U398" s="99">
        <v>3</v>
      </c>
      <c r="V398" s="99">
        <v>3</v>
      </c>
      <c r="W398" s="99">
        <v>2</v>
      </c>
      <c r="X398" s="99">
        <v>2</v>
      </c>
      <c r="Y398" s="99">
        <v>2</v>
      </c>
      <c r="Z398" s="99">
        <v>2</v>
      </c>
      <c r="AA398" s="99">
        <v>3</v>
      </c>
      <c r="AB398" s="99">
        <v>3</v>
      </c>
      <c r="AC398" s="99">
        <v>2</v>
      </c>
      <c r="AD398" s="99">
        <v>3</v>
      </c>
      <c r="AE398" s="99">
        <v>2</v>
      </c>
      <c r="AF398" s="99">
        <v>2</v>
      </c>
      <c r="AG398" s="99">
        <v>2</v>
      </c>
      <c r="AH398" s="99">
        <v>2</v>
      </c>
      <c r="AI398" s="99">
        <v>3</v>
      </c>
      <c r="AJ398" s="99">
        <v>3</v>
      </c>
      <c r="AK398" s="99">
        <v>2</v>
      </c>
      <c r="AL398" s="99">
        <v>2</v>
      </c>
      <c r="AM398" s="99">
        <v>2</v>
      </c>
      <c r="AN398" s="99">
        <v>2</v>
      </c>
      <c r="AO398" s="99">
        <v>2</v>
      </c>
      <c r="AP398" s="99">
        <v>2</v>
      </c>
      <c r="AQ398" s="99">
        <v>2</v>
      </c>
      <c r="AR398" s="99">
        <v>0</v>
      </c>
      <c r="AS398" s="99">
        <v>2</v>
      </c>
      <c r="AT398" s="99">
        <v>3</v>
      </c>
      <c r="AU398" s="99">
        <v>2</v>
      </c>
      <c r="AV398" s="99">
        <v>3</v>
      </c>
      <c r="AW398" s="99">
        <v>2</v>
      </c>
      <c r="AX398" s="99">
        <v>2</v>
      </c>
      <c r="AY398" s="99">
        <v>2</v>
      </c>
      <c r="AZ398" s="99">
        <v>2</v>
      </c>
      <c r="BA398" s="99">
        <v>3</v>
      </c>
      <c r="BB398" s="99">
        <v>2</v>
      </c>
      <c r="BC398" s="99">
        <v>2</v>
      </c>
      <c r="BD398" s="99">
        <v>2</v>
      </c>
      <c r="BE398" s="99">
        <v>2</v>
      </c>
      <c r="BF398" s="99">
        <v>3</v>
      </c>
      <c r="BG398" s="99">
        <v>2</v>
      </c>
      <c r="BH398" s="99">
        <v>0</v>
      </c>
      <c r="BI398" s="99">
        <v>2</v>
      </c>
      <c r="BJ398" s="99">
        <v>2</v>
      </c>
      <c r="BK398" s="99">
        <v>3</v>
      </c>
      <c r="BL398" s="99">
        <v>2</v>
      </c>
      <c r="BM398" s="99">
        <v>2</v>
      </c>
      <c r="BN398" s="99">
        <v>2</v>
      </c>
      <c r="BO398" s="99">
        <v>3</v>
      </c>
      <c r="BP398" s="99">
        <v>2</v>
      </c>
      <c r="BQ398" s="99">
        <v>2</v>
      </c>
      <c r="BR398" s="99">
        <v>2</v>
      </c>
      <c r="BS398" s="99">
        <v>3</v>
      </c>
      <c r="BT398" s="99">
        <v>3</v>
      </c>
      <c r="BU398" s="99">
        <v>2</v>
      </c>
      <c r="BV398" s="99">
        <v>2</v>
      </c>
      <c r="BW398" s="99">
        <v>0</v>
      </c>
      <c r="BX398" s="99">
        <v>2</v>
      </c>
      <c r="BY398" s="99">
        <v>2</v>
      </c>
      <c r="BZ398" s="99">
        <v>3</v>
      </c>
      <c r="CA398" s="99">
        <v>0</v>
      </c>
      <c r="CB398" s="99">
        <v>2</v>
      </c>
      <c r="CC398" s="99">
        <v>2</v>
      </c>
      <c r="CD398" s="99">
        <v>2</v>
      </c>
      <c r="CE398" s="99">
        <v>2</v>
      </c>
      <c r="CF398" s="99">
        <v>2</v>
      </c>
      <c r="CG398" s="99">
        <v>2</v>
      </c>
      <c r="CH398" s="99">
        <v>2</v>
      </c>
      <c r="CI398" s="99">
        <v>2</v>
      </c>
      <c r="CJ398" s="99">
        <v>2</v>
      </c>
      <c r="CK398" s="99">
        <v>2</v>
      </c>
      <c r="CL398" s="99">
        <v>3</v>
      </c>
      <c r="CM398" s="99">
        <v>2</v>
      </c>
      <c r="CN398" s="99">
        <v>2</v>
      </c>
      <c r="CO398" s="99">
        <v>3</v>
      </c>
      <c r="CP398" s="99">
        <v>3</v>
      </c>
      <c r="CQ398" s="99">
        <v>2</v>
      </c>
      <c r="CR398" s="99">
        <v>2</v>
      </c>
    </row>
    <row r="399" spans="1:96" x14ac:dyDescent="0.3">
      <c r="A399" s="99">
        <v>963</v>
      </c>
      <c r="B399" s="314">
        <v>963</v>
      </c>
      <c r="C399" s="99" t="s">
        <v>1795</v>
      </c>
      <c r="D399" s="99" t="s">
        <v>909</v>
      </c>
      <c r="F399" s="99">
        <v>3</v>
      </c>
      <c r="G399" s="99">
        <v>3</v>
      </c>
      <c r="H399" s="99">
        <v>3</v>
      </c>
      <c r="I399" s="99">
        <v>1</v>
      </c>
      <c r="J399" s="99">
        <v>1</v>
      </c>
      <c r="K399" s="99">
        <v>3</v>
      </c>
      <c r="L399" s="99">
        <v>3</v>
      </c>
      <c r="M399" s="99">
        <v>3</v>
      </c>
      <c r="N399" s="99">
        <v>3</v>
      </c>
      <c r="O399" s="99">
        <v>1</v>
      </c>
      <c r="P399" s="99">
        <v>1</v>
      </c>
      <c r="Q399" s="99">
        <v>3</v>
      </c>
      <c r="R399" s="99">
        <v>3</v>
      </c>
      <c r="S399" s="99">
        <v>3</v>
      </c>
      <c r="T399" s="99">
        <v>3</v>
      </c>
      <c r="U399" s="99">
        <v>3</v>
      </c>
      <c r="V399" s="99">
        <v>3</v>
      </c>
      <c r="W399" s="99">
        <v>1</v>
      </c>
      <c r="X399" s="99">
        <v>3</v>
      </c>
      <c r="Y399" s="99">
        <v>1</v>
      </c>
      <c r="Z399" s="99">
        <v>1</v>
      </c>
      <c r="AA399" s="99">
        <v>3</v>
      </c>
      <c r="AB399" s="99">
        <v>3</v>
      </c>
      <c r="AC399" s="99">
        <v>3</v>
      </c>
      <c r="AD399" s="99">
        <v>3</v>
      </c>
      <c r="AE399" s="99">
        <v>1</v>
      </c>
      <c r="AF399" s="99">
        <v>1</v>
      </c>
      <c r="AG399" s="99">
        <v>3</v>
      </c>
      <c r="AH399" s="99">
        <v>3</v>
      </c>
      <c r="AI399" s="99">
        <v>3</v>
      </c>
      <c r="AJ399" s="99">
        <v>3</v>
      </c>
      <c r="AK399" s="99">
        <v>1</v>
      </c>
      <c r="AL399" s="99">
        <v>3</v>
      </c>
      <c r="AM399" s="99">
        <v>3</v>
      </c>
      <c r="AN399" s="99">
        <v>1</v>
      </c>
      <c r="AO399" s="99">
        <v>3</v>
      </c>
      <c r="AP399" s="99">
        <v>3</v>
      </c>
      <c r="AQ399" s="99">
        <v>1</v>
      </c>
      <c r="AR399" s="99">
        <v>0</v>
      </c>
      <c r="AS399" s="99">
        <v>3</v>
      </c>
      <c r="AT399" s="99">
        <v>3</v>
      </c>
      <c r="AU399" s="99">
        <v>3</v>
      </c>
      <c r="AV399" s="99">
        <v>3</v>
      </c>
      <c r="AW399" s="99">
        <v>3</v>
      </c>
      <c r="AX399" s="99">
        <v>3</v>
      </c>
      <c r="AY399" s="99">
        <v>3</v>
      </c>
      <c r="AZ399" s="99">
        <v>1</v>
      </c>
      <c r="BA399" s="99">
        <v>3</v>
      </c>
      <c r="BB399" s="99">
        <v>1</v>
      </c>
      <c r="BC399" s="99">
        <v>3</v>
      </c>
      <c r="BD399" s="99">
        <v>1</v>
      </c>
      <c r="BE399" s="99">
        <v>3</v>
      </c>
      <c r="BF399" s="99">
        <v>3</v>
      </c>
      <c r="BG399" s="99">
        <v>3</v>
      </c>
      <c r="BH399" s="99">
        <v>1</v>
      </c>
      <c r="BI399" s="99">
        <v>1</v>
      </c>
      <c r="BJ399" s="99">
        <v>3</v>
      </c>
      <c r="BK399" s="99">
        <v>3</v>
      </c>
      <c r="BL399" s="99">
        <v>1</v>
      </c>
      <c r="BM399" s="99">
        <v>1</v>
      </c>
      <c r="BN399" s="99">
        <v>3</v>
      </c>
      <c r="BO399" s="99">
        <v>3</v>
      </c>
      <c r="BP399" s="99">
        <v>3</v>
      </c>
      <c r="BQ399" s="99">
        <v>3</v>
      </c>
      <c r="BR399" s="99">
        <v>3</v>
      </c>
      <c r="BS399" s="99">
        <v>3</v>
      </c>
      <c r="BT399" s="99">
        <v>3</v>
      </c>
      <c r="BU399" s="99">
        <v>1</v>
      </c>
      <c r="BV399" s="99">
        <v>3</v>
      </c>
      <c r="BW399" s="99">
        <v>0</v>
      </c>
      <c r="BX399" s="99">
        <v>3</v>
      </c>
      <c r="BY399" s="99">
        <v>1</v>
      </c>
      <c r="BZ399" s="99">
        <v>3</v>
      </c>
      <c r="CA399" s="99">
        <v>0</v>
      </c>
      <c r="CB399" s="99">
        <v>1</v>
      </c>
      <c r="CC399" s="99">
        <v>1</v>
      </c>
      <c r="CD399" s="99">
        <v>1</v>
      </c>
      <c r="CE399" s="99">
        <v>1</v>
      </c>
      <c r="CF399" s="99">
        <v>3</v>
      </c>
      <c r="CG399" s="99">
        <v>3</v>
      </c>
      <c r="CH399" s="99">
        <v>1</v>
      </c>
      <c r="CI399" s="99">
        <v>1</v>
      </c>
      <c r="CJ399" s="99">
        <v>3</v>
      </c>
      <c r="CK399" s="99">
        <v>3</v>
      </c>
      <c r="CL399" s="99">
        <v>3</v>
      </c>
      <c r="CM399" s="99">
        <v>3</v>
      </c>
      <c r="CN399" s="99">
        <v>3</v>
      </c>
      <c r="CO399" s="99">
        <v>3</v>
      </c>
      <c r="CP399" s="99">
        <v>3</v>
      </c>
      <c r="CQ399" s="99">
        <v>3</v>
      </c>
      <c r="CR399" s="99">
        <v>1</v>
      </c>
    </row>
    <row r="400" spans="1:96" x14ac:dyDescent="0.3">
      <c r="A400" s="99">
        <v>965</v>
      </c>
      <c r="B400" s="314">
        <v>965</v>
      </c>
      <c r="C400" s="99" t="s">
        <v>1795</v>
      </c>
      <c r="D400" s="99" t="s">
        <v>910</v>
      </c>
      <c r="F400" s="99">
        <v>1</v>
      </c>
      <c r="G400" s="99">
        <v>1</v>
      </c>
      <c r="H400" s="99">
        <v>1</v>
      </c>
      <c r="I400" s="99">
        <v>1</v>
      </c>
      <c r="J400" s="99">
        <v>1</v>
      </c>
      <c r="K400" s="99">
        <v>1</v>
      </c>
      <c r="L400" s="99">
        <v>1</v>
      </c>
      <c r="M400" s="99">
        <v>1</v>
      </c>
      <c r="N400" s="99">
        <v>1</v>
      </c>
      <c r="O400" s="99">
        <v>1</v>
      </c>
      <c r="P400" s="99">
        <v>1</v>
      </c>
      <c r="Q400" s="99">
        <v>1</v>
      </c>
      <c r="R400" s="99">
        <v>1</v>
      </c>
      <c r="S400" s="99">
        <v>1</v>
      </c>
      <c r="T400" s="99">
        <v>1</v>
      </c>
      <c r="U400" s="99">
        <v>1</v>
      </c>
      <c r="V400" s="99">
        <v>1</v>
      </c>
      <c r="W400" s="99">
        <v>1</v>
      </c>
      <c r="X400" s="99">
        <v>1</v>
      </c>
      <c r="Y400" s="99">
        <v>1</v>
      </c>
      <c r="Z400" s="99">
        <v>1</v>
      </c>
      <c r="AA400" s="99">
        <v>1</v>
      </c>
      <c r="AB400" s="99">
        <v>1</v>
      </c>
      <c r="AC400" s="99">
        <v>1</v>
      </c>
      <c r="AD400" s="99">
        <v>1</v>
      </c>
      <c r="AE400" s="99">
        <v>1</v>
      </c>
      <c r="AF400" s="99">
        <v>1</v>
      </c>
      <c r="AG400" s="99">
        <v>1</v>
      </c>
      <c r="AH400" s="99">
        <v>1</v>
      </c>
      <c r="AI400" s="99">
        <v>1</v>
      </c>
      <c r="AJ400" s="99">
        <v>1</v>
      </c>
      <c r="AK400" s="99">
        <v>1</v>
      </c>
      <c r="AL400" s="99">
        <v>1</v>
      </c>
      <c r="AM400" s="99">
        <v>1</v>
      </c>
      <c r="AN400" s="99">
        <v>1</v>
      </c>
      <c r="AO400" s="99">
        <v>1</v>
      </c>
      <c r="AP400" s="99">
        <v>1</v>
      </c>
      <c r="AQ400" s="99">
        <v>1</v>
      </c>
      <c r="AR400" s="99">
        <v>0</v>
      </c>
      <c r="AS400" s="99">
        <v>1</v>
      </c>
      <c r="AT400" s="99">
        <v>1</v>
      </c>
      <c r="AU400" s="99">
        <v>1</v>
      </c>
      <c r="AV400" s="99">
        <v>1</v>
      </c>
      <c r="AW400" s="99">
        <v>1</v>
      </c>
      <c r="AX400" s="99">
        <v>1</v>
      </c>
      <c r="AY400" s="99">
        <v>1</v>
      </c>
      <c r="AZ400" s="99">
        <v>1</v>
      </c>
      <c r="BA400" s="99">
        <v>1</v>
      </c>
      <c r="BB400" s="99">
        <v>1</v>
      </c>
      <c r="BC400" s="99">
        <v>1</v>
      </c>
      <c r="BD400" s="99">
        <v>1</v>
      </c>
      <c r="BE400" s="99">
        <v>1</v>
      </c>
      <c r="BF400" s="99">
        <v>1</v>
      </c>
      <c r="BG400" s="99">
        <v>1</v>
      </c>
      <c r="BH400" s="99">
        <v>1</v>
      </c>
      <c r="BI400" s="99">
        <v>1</v>
      </c>
      <c r="BJ400" s="99">
        <v>1</v>
      </c>
      <c r="BK400" s="99">
        <v>1</v>
      </c>
      <c r="BL400" s="99">
        <v>1</v>
      </c>
      <c r="BM400" s="99">
        <v>1</v>
      </c>
      <c r="BN400" s="99">
        <v>1</v>
      </c>
      <c r="BO400" s="99">
        <v>1</v>
      </c>
      <c r="BP400" s="99">
        <v>1</v>
      </c>
      <c r="BQ400" s="99">
        <v>1</v>
      </c>
      <c r="BR400" s="99">
        <v>1</v>
      </c>
      <c r="BS400" s="99">
        <v>1</v>
      </c>
      <c r="BT400" s="99">
        <v>1</v>
      </c>
      <c r="BU400" s="99">
        <v>1</v>
      </c>
      <c r="BV400" s="99">
        <v>1</v>
      </c>
      <c r="BW400" s="99">
        <v>0</v>
      </c>
      <c r="BX400" s="99">
        <v>1</v>
      </c>
      <c r="BY400" s="99">
        <v>1</v>
      </c>
      <c r="BZ400" s="99">
        <v>1</v>
      </c>
      <c r="CA400" s="99">
        <v>0</v>
      </c>
      <c r="CB400" s="99">
        <v>1</v>
      </c>
      <c r="CC400" s="99">
        <v>0</v>
      </c>
      <c r="CD400" s="99">
        <v>1</v>
      </c>
      <c r="CE400" s="99">
        <v>1</v>
      </c>
      <c r="CF400" s="99">
        <v>1</v>
      </c>
      <c r="CG400" s="99">
        <v>1</v>
      </c>
      <c r="CH400" s="99">
        <v>1</v>
      </c>
      <c r="CI400" s="99">
        <v>1</v>
      </c>
      <c r="CJ400" s="99">
        <v>1</v>
      </c>
      <c r="CK400" s="99">
        <v>1</v>
      </c>
      <c r="CL400" s="99">
        <v>1</v>
      </c>
      <c r="CM400" s="99">
        <v>1</v>
      </c>
      <c r="CN400" s="99">
        <v>1</v>
      </c>
      <c r="CO400" s="99">
        <v>1</v>
      </c>
      <c r="CP400" s="99">
        <v>1</v>
      </c>
      <c r="CQ400" s="99">
        <v>1</v>
      </c>
      <c r="CR400" s="99">
        <v>1</v>
      </c>
    </row>
    <row r="401" spans="1:96" x14ac:dyDescent="0.3">
      <c r="A401" s="99">
        <v>603</v>
      </c>
      <c r="B401" s="314">
        <v>603</v>
      </c>
      <c r="C401" s="99" t="s">
        <v>1796</v>
      </c>
      <c r="D401" s="99" t="s">
        <v>915</v>
      </c>
      <c r="F401" s="99">
        <v>0</v>
      </c>
      <c r="G401" s="99">
        <v>0</v>
      </c>
      <c r="H401" s="99">
        <v>0</v>
      </c>
      <c r="I401" s="99">
        <v>4</v>
      </c>
      <c r="J401" s="99">
        <v>0</v>
      </c>
      <c r="K401" s="99">
        <v>2</v>
      </c>
      <c r="L401" s="99">
        <v>0</v>
      </c>
      <c r="M401" s="99">
        <v>0</v>
      </c>
      <c r="N401" s="99">
        <v>0</v>
      </c>
      <c r="O401" s="99">
        <v>0</v>
      </c>
      <c r="P401" s="99">
        <v>0</v>
      </c>
      <c r="Q401" s="99">
        <v>4</v>
      </c>
      <c r="R401" s="99">
        <v>6</v>
      </c>
      <c r="S401" s="99">
        <v>2</v>
      </c>
      <c r="T401" s="99">
        <v>0</v>
      </c>
      <c r="U401" s="99">
        <v>0</v>
      </c>
      <c r="V401" s="99">
        <v>2</v>
      </c>
      <c r="W401" s="99">
        <v>0</v>
      </c>
      <c r="X401" s="99">
        <v>0</v>
      </c>
      <c r="Y401" s="99">
        <v>0</v>
      </c>
      <c r="Z401" s="99">
        <v>1</v>
      </c>
      <c r="AA401" s="99">
        <v>0</v>
      </c>
      <c r="AB401" s="99">
        <v>0</v>
      </c>
      <c r="AC401" s="99">
        <v>4</v>
      </c>
      <c r="AD401" s="99">
        <v>2</v>
      </c>
      <c r="AE401" s="99">
        <v>4</v>
      </c>
      <c r="AF401" s="99">
        <v>0</v>
      </c>
      <c r="AG401" s="99">
        <v>0</v>
      </c>
      <c r="AH401" s="99">
        <v>0</v>
      </c>
      <c r="AI401" s="99">
        <v>0</v>
      </c>
      <c r="AJ401" s="99">
        <v>2</v>
      </c>
      <c r="AK401" s="99">
        <v>1</v>
      </c>
      <c r="AL401" s="99">
        <v>0</v>
      </c>
      <c r="AM401" s="99">
        <v>2</v>
      </c>
      <c r="AN401" s="99">
        <v>5</v>
      </c>
      <c r="AO401" s="99">
        <v>0</v>
      </c>
      <c r="AP401" s="99">
        <v>0</v>
      </c>
      <c r="AQ401" s="99">
        <v>0</v>
      </c>
      <c r="AR401" s="99">
        <v>0</v>
      </c>
      <c r="AS401" s="99">
        <v>0</v>
      </c>
      <c r="AT401" s="99">
        <v>2</v>
      </c>
      <c r="AU401" s="99">
        <v>5</v>
      </c>
      <c r="AV401" s="99">
        <v>2</v>
      </c>
      <c r="AW401" s="99">
        <v>1</v>
      </c>
      <c r="AX401" s="99">
        <v>0</v>
      </c>
      <c r="AY401" s="99">
        <v>0</v>
      </c>
      <c r="AZ401" s="99">
        <v>0</v>
      </c>
      <c r="BA401" s="99">
        <v>0</v>
      </c>
      <c r="BB401" s="99">
        <v>0</v>
      </c>
      <c r="BC401" s="99">
        <v>0</v>
      </c>
      <c r="BD401" s="99">
        <v>4</v>
      </c>
      <c r="BE401" s="99">
        <v>4</v>
      </c>
      <c r="BF401" s="99">
        <v>0</v>
      </c>
      <c r="BG401" s="99">
        <v>1</v>
      </c>
      <c r="BH401" s="99">
        <v>1</v>
      </c>
      <c r="BI401" s="99">
        <v>4</v>
      </c>
      <c r="BJ401" s="99">
        <v>1</v>
      </c>
      <c r="BK401" s="99">
        <v>0</v>
      </c>
      <c r="BL401" s="99">
        <v>0</v>
      </c>
      <c r="BM401" s="99">
        <v>2</v>
      </c>
      <c r="BN401" s="99">
        <v>0</v>
      </c>
      <c r="BO401" s="99">
        <v>2</v>
      </c>
      <c r="BP401" s="99">
        <v>0</v>
      </c>
      <c r="BQ401" s="99">
        <v>0</v>
      </c>
      <c r="BR401" s="99">
        <v>0</v>
      </c>
      <c r="BS401" s="99">
        <v>0</v>
      </c>
      <c r="BT401" s="99">
        <v>0</v>
      </c>
      <c r="BU401" s="99">
        <v>0</v>
      </c>
      <c r="BV401" s="99">
        <v>0</v>
      </c>
      <c r="BW401" s="99">
        <v>0</v>
      </c>
      <c r="BX401" s="99">
        <v>2</v>
      </c>
      <c r="BY401" s="99">
        <v>2</v>
      </c>
      <c r="BZ401" s="99">
        <v>0</v>
      </c>
      <c r="CA401" s="99">
        <v>0</v>
      </c>
      <c r="CB401" s="99">
        <v>0</v>
      </c>
      <c r="CC401" s="99">
        <v>2</v>
      </c>
      <c r="CD401" s="99">
        <v>0</v>
      </c>
      <c r="CE401" s="99">
        <v>4</v>
      </c>
      <c r="CF401" s="99">
        <v>4</v>
      </c>
      <c r="CG401" s="99">
        <v>0</v>
      </c>
      <c r="CH401" s="99">
        <v>2</v>
      </c>
      <c r="CI401" s="99">
        <v>1</v>
      </c>
      <c r="CJ401" s="99">
        <v>1</v>
      </c>
      <c r="CK401" s="99">
        <v>2</v>
      </c>
      <c r="CL401" s="99">
        <v>6</v>
      </c>
      <c r="CM401" s="99">
        <v>0</v>
      </c>
      <c r="CN401" s="99">
        <v>2</v>
      </c>
      <c r="CO401" s="99">
        <v>0</v>
      </c>
      <c r="CP401" s="99">
        <v>2</v>
      </c>
      <c r="CQ401" s="99">
        <v>0</v>
      </c>
      <c r="CR401" s="99">
        <v>0</v>
      </c>
    </row>
    <row r="402" spans="1:96" x14ac:dyDescent="0.3">
      <c r="A402" s="99">
        <v>929</v>
      </c>
      <c r="B402" s="314">
        <v>929</v>
      </c>
      <c r="C402" s="99" t="s">
        <v>1796</v>
      </c>
      <c r="D402" s="99" t="s">
        <v>911</v>
      </c>
      <c r="F402" s="99">
        <v>0</v>
      </c>
      <c r="G402" s="99">
        <v>0</v>
      </c>
      <c r="H402" s="99">
        <v>0</v>
      </c>
      <c r="I402" s="99">
        <v>1</v>
      </c>
      <c r="J402" s="99">
        <v>0</v>
      </c>
      <c r="K402" s="99">
        <v>1</v>
      </c>
      <c r="L402" s="99">
        <v>0</v>
      </c>
      <c r="M402" s="99">
        <v>0</v>
      </c>
      <c r="N402" s="99">
        <v>2</v>
      </c>
      <c r="O402" s="99">
        <v>0</v>
      </c>
      <c r="P402" s="99">
        <v>0</v>
      </c>
      <c r="Q402" s="99">
        <v>2</v>
      </c>
      <c r="R402" s="99">
        <v>1</v>
      </c>
      <c r="S402" s="99">
        <v>2</v>
      </c>
      <c r="T402" s="99">
        <v>0</v>
      </c>
      <c r="U402" s="99">
        <v>0</v>
      </c>
      <c r="V402" s="99">
        <v>2</v>
      </c>
      <c r="W402" s="99">
        <v>0</v>
      </c>
      <c r="X402" s="99">
        <v>0</v>
      </c>
      <c r="Y402" s="99">
        <v>0</v>
      </c>
      <c r="Z402" s="99">
        <v>2</v>
      </c>
      <c r="AA402" s="99">
        <v>0</v>
      </c>
      <c r="AB402" s="99">
        <v>0</v>
      </c>
      <c r="AC402" s="99">
        <v>1</v>
      </c>
      <c r="AD402" s="99">
        <v>2</v>
      </c>
      <c r="AE402" s="99">
        <v>1</v>
      </c>
      <c r="AF402" s="99">
        <v>0</v>
      </c>
      <c r="AG402" s="99">
        <v>0</v>
      </c>
      <c r="AH402" s="99">
        <v>0</v>
      </c>
      <c r="AI402" s="99">
        <v>0</v>
      </c>
      <c r="AJ402" s="99">
        <v>0</v>
      </c>
      <c r="AK402" s="99">
        <v>2</v>
      </c>
      <c r="AL402" s="99">
        <v>0</v>
      </c>
      <c r="AM402" s="99">
        <v>1</v>
      </c>
      <c r="AN402" s="99">
        <v>2</v>
      </c>
      <c r="AO402" s="99">
        <v>0</v>
      </c>
      <c r="AP402" s="99">
        <v>0</v>
      </c>
      <c r="AQ402" s="99">
        <v>0</v>
      </c>
      <c r="AR402" s="99">
        <v>0</v>
      </c>
      <c r="AS402" s="99">
        <v>0</v>
      </c>
      <c r="AT402" s="99">
        <v>1</v>
      </c>
      <c r="AU402" s="99">
        <v>2</v>
      </c>
      <c r="AV402" s="99">
        <v>1</v>
      </c>
      <c r="AW402" s="99">
        <v>1</v>
      </c>
      <c r="AX402" s="99">
        <v>0</v>
      </c>
      <c r="AY402" s="99">
        <v>0</v>
      </c>
      <c r="AZ402" s="99">
        <v>0</v>
      </c>
      <c r="BA402" s="99">
        <v>0</v>
      </c>
      <c r="BB402" s="99">
        <v>0</v>
      </c>
      <c r="BC402" s="99">
        <v>0</v>
      </c>
      <c r="BD402" s="99">
        <v>2</v>
      </c>
      <c r="BE402" s="99">
        <v>1</v>
      </c>
      <c r="BF402" s="99">
        <v>0</v>
      </c>
      <c r="BG402" s="99">
        <v>1</v>
      </c>
      <c r="BH402" s="99">
        <v>2</v>
      </c>
      <c r="BI402" s="99">
        <v>1</v>
      </c>
      <c r="BJ402" s="99">
        <v>2</v>
      </c>
      <c r="BK402" s="99">
        <v>0</v>
      </c>
      <c r="BL402" s="99">
        <v>0</v>
      </c>
      <c r="BM402" s="99">
        <v>2</v>
      </c>
      <c r="BN402" s="99">
        <v>0</v>
      </c>
      <c r="BO402" s="99">
        <v>2</v>
      </c>
      <c r="BP402" s="99">
        <v>0</v>
      </c>
      <c r="BQ402" s="99">
        <v>0</v>
      </c>
      <c r="BR402" s="99">
        <v>0</v>
      </c>
      <c r="BS402" s="99">
        <v>0</v>
      </c>
      <c r="BT402" s="99">
        <v>0</v>
      </c>
      <c r="BU402" s="99">
        <v>0</v>
      </c>
      <c r="BV402" s="99">
        <v>0</v>
      </c>
      <c r="BW402" s="99">
        <v>0</v>
      </c>
      <c r="BX402" s="99">
        <v>2</v>
      </c>
      <c r="BY402" s="99">
        <v>2</v>
      </c>
      <c r="BZ402" s="99">
        <v>0</v>
      </c>
      <c r="CA402" s="99">
        <v>0</v>
      </c>
      <c r="CB402" s="99">
        <v>0</v>
      </c>
      <c r="CC402" s="99">
        <v>2</v>
      </c>
      <c r="CD402" s="99">
        <v>0</v>
      </c>
      <c r="CE402" s="99">
        <v>1</v>
      </c>
      <c r="CF402" s="99">
        <v>1</v>
      </c>
      <c r="CG402" s="99">
        <v>0</v>
      </c>
      <c r="CH402" s="99">
        <v>2</v>
      </c>
      <c r="CI402" s="99">
        <v>2</v>
      </c>
      <c r="CJ402" s="99">
        <v>2</v>
      </c>
      <c r="CK402" s="99">
        <v>2</v>
      </c>
      <c r="CL402" s="99">
        <v>2</v>
      </c>
      <c r="CM402" s="99">
        <v>0</v>
      </c>
      <c r="CN402" s="99">
        <v>2</v>
      </c>
      <c r="CO402" s="99">
        <v>0</v>
      </c>
      <c r="CP402" s="99">
        <v>2</v>
      </c>
      <c r="CQ402" s="99">
        <v>0</v>
      </c>
      <c r="CR402" s="99">
        <v>0</v>
      </c>
    </row>
    <row r="403" spans="1:96" x14ac:dyDescent="0.3">
      <c r="A403" s="99">
        <v>930</v>
      </c>
      <c r="B403" s="314">
        <v>930</v>
      </c>
      <c r="C403" s="99" t="s">
        <v>1796</v>
      </c>
      <c r="D403" s="99" t="s">
        <v>912</v>
      </c>
      <c r="F403" s="99">
        <v>0</v>
      </c>
      <c r="G403" s="99">
        <v>0</v>
      </c>
      <c r="H403" s="99">
        <v>0</v>
      </c>
      <c r="I403" s="99">
        <v>2</v>
      </c>
      <c r="J403" s="99">
        <v>0</v>
      </c>
      <c r="K403" s="99">
        <v>2</v>
      </c>
      <c r="L403" s="99">
        <v>0</v>
      </c>
      <c r="M403" s="99">
        <v>0</v>
      </c>
      <c r="N403" s="99">
        <v>2</v>
      </c>
      <c r="O403" s="99">
        <v>0</v>
      </c>
      <c r="P403" s="99">
        <v>0</v>
      </c>
      <c r="Q403" s="99">
        <v>1</v>
      </c>
      <c r="R403" s="99">
        <v>2</v>
      </c>
      <c r="S403" s="99">
        <v>2</v>
      </c>
      <c r="T403" s="99">
        <v>0</v>
      </c>
      <c r="U403" s="99">
        <v>0</v>
      </c>
      <c r="V403" s="99">
        <v>2</v>
      </c>
      <c r="W403" s="99">
        <v>0</v>
      </c>
      <c r="X403" s="99">
        <v>0</v>
      </c>
      <c r="Y403" s="99">
        <v>0</v>
      </c>
      <c r="Z403" s="99">
        <v>1</v>
      </c>
      <c r="AA403" s="99">
        <v>0</v>
      </c>
      <c r="AB403" s="99">
        <v>0</v>
      </c>
      <c r="AC403" s="99">
        <v>2</v>
      </c>
      <c r="AD403" s="99">
        <v>1</v>
      </c>
      <c r="AE403" s="99">
        <v>2</v>
      </c>
      <c r="AF403" s="99">
        <v>0</v>
      </c>
      <c r="AG403" s="99">
        <v>0</v>
      </c>
      <c r="AH403" s="99">
        <v>0</v>
      </c>
      <c r="AI403" s="99">
        <v>0</v>
      </c>
      <c r="AJ403" s="99">
        <v>2</v>
      </c>
      <c r="AK403" s="99">
        <v>2</v>
      </c>
      <c r="AL403" s="99">
        <v>0</v>
      </c>
      <c r="AM403" s="99">
        <v>2</v>
      </c>
      <c r="AN403" s="99">
        <v>1</v>
      </c>
      <c r="AO403" s="99">
        <v>0</v>
      </c>
      <c r="AP403" s="99">
        <v>0</v>
      </c>
      <c r="AQ403" s="99">
        <v>0</v>
      </c>
      <c r="AR403" s="99">
        <v>0</v>
      </c>
      <c r="AS403" s="99">
        <v>0</v>
      </c>
      <c r="AT403" s="99">
        <v>2</v>
      </c>
      <c r="AU403" s="99">
        <v>1</v>
      </c>
      <c r="AV403" s="99">
        <v>2</v>
      </c>
      <c r="AW403" s="99">
        <v>2</v>
      </c>
      <c r="AX403" s="99">
        <v>0</v>
      </c>
      <c r="AY403" s="99">
        <v>0</v>
      </c>
      <c r="AZ403" s="99">
        <v>0</v>
      </c>
      <c r="BA403" s="99">
        <v>0</v>
      </c>
      <c r="BB403" s="99">
        <v>0</v>
      </c>
      <c r="BC403" s="99">
        <v>0</v>
      </c>
      <c r="BD403" s="99">
        <v>1</v>
      </c>
      <c r="BE403" s="99">
        <v>2</v>
      </c>
      <c r="BF403" s="99">
        <v>0</v>
      </c>
      <c r="BG403" s="99">
        <v>2</v>
      </c>
      <c r="BH403" s="99">
        <v>2</v>
      </c>
      <c r="BI403" s="99">
        <v>2</v>
      </c>
      <c r="BJ403" s="99">
        <v>2</v>
      </c>
      <c r="BK403" s="99">
        <v>0</v>
      </c>
      <c r="BL403" s="99">
        <v>0</v>
      </c>
      <c r="BM403" s="99">
        <v>2</v>
      </c>
      <c r="BN403" s="99">
        <v>0</v>
      </c>
      <c r="BO403" s="99">
        <v>2</v>
      </c>
      <c r="BP403" s="99">
        <v>0</v>
      </c>
      <c r="BQ403" s="99">
        <v>0</v>
      </c>
      <c r="BR403" s="99">
        <v>0</v>
      </c>
      <c r="BS403" s="99">
        <v>0</v>
      </c>
      <c r="BT403" s="99">
        <v>0</v>
      </c>
      <c r="BU403" s="99">
        <v>0</v>
      </c>
      <c r="BV403" s="99">
        <v>0</v>
      </c>
      <c r="BW403" s="99">
        <v>0</v>
      </c>
      <c r="BX403" s="99">
        <v>2</v>
      </c>
      <c r="BY403" s="99">
        <v>2</v>
      </c>
      <c r="BZ403" s="99">
        <v>0</v>
      </c>
      <c r="CA403" s="99">
        <v>0</v>
      </c>
      <c r="CB403" s="99">
        <v>0</v>
      </c>
      <c r="CC403" s="99">
        <v>2</v>
      </c>
      <c r="CD403" s="99">
        <v>0</v>
      </c>
      <c r="CE403" s="99">
        <v>2</v>
      </c>
      <c r="CF403" s="99">
        <v>2</v>
      </c>
      <c r="CG403" s="99">
        <v>0</v>
      </c>
      <c r="CH403" s="99">
        <v>2</v>
      </c>
      <c r="CI403" s="99">
        <v>2</v>
      </c>
      <c r="CJ403" s="99">
        <v>2</v>
      </c>
      <c r="CK403" s="99">
        <v>1</v>
      </c>
      <c r="CL403" s="99">
        <v>2</v>
      </c>
      <c r="CM403" s="99">
        <v>0</v>
      </c>
      <c r="CN403" s="99">
        <v>2</v>
      </c>
      <c r="CO403" s="99">
        <v>0</v>
      </c>
      <c r="CP403" s="99">
        <v>2</v>
      </c>
      <c r="CQ403" s="99">
        <v>0</v>
      </c>
      <c r="CR403" s="99">
        <v>0</v>
      </c>
    </row>
    <row r="404" spans="1:96" x14ac:dyDescent="0.3">
      <c r="A404" s="99">
        <v>931</v>
      </c>
      <c r="B404" s="314">
        <v>931</v>
      </c>
      <c r="C404" s="99" t="s">
        <v>1796</v>
      </c>
      <c r="D404" s="99" t="s">
        <v>913</v>
      </c>
      <c r="F404" s="99">
        <v>0</v>
      </c>
      <c r="G404" s="99">
        <v>0</v>
      </c>
      <c r="H404" s="99">
        <v>0</v>
      </c>
      <c r="I404" s="99">
        <v>2</v>
      </c>
      <c r="J404" s="99">
        <v>0</v>
      </c>
      <c r="K404" s="99">
        <v>2</v>
      </c>
      <c r="L404" s="99">
        <v>0</v>
      </c>
      <c r="M404" s="99">
        <v>0</v>
      </c>
      <c r="N404" s="99">
        <v>2</v>
      </c>
      <c r="O404" s="99">
        <v>0</v>
      </c>
      <c r="P404" s="99">
        <v>0</v>
      </c>
      <c r="Q404" s="99">
        <v>2</v>
      </c>
      <c r="R404" s="99">
        <v>2</v>
      </c>
      <c r="S404" s="99">
        <v>2</v>
      </c>
      <c r="T404" s="99">
        <v>0</v>
      </c>
      <c r="U404" s="99">
        <v>0</v>
      </c>
      <c r="V404" s="99">
        <v>2</v>
      </c>
      <c r="W404" s="99">
        <v>0</v>
      </c>
      <c r="X404" s="99">
        <v>0</v>
      </c>
      <c r="Y404" s="99">
        <v>0</v>
      </c>
      <c r="Z404" s="99">
        <v>2</v>
      </c>
      <c r="AA404" s="99">
        <v>0</v>
      </c>
      <c r="AB404" s="99">
        <v>0</v>
      </c>
      <c r="AC404" s="99">
        <v>2</v>
      </c>
      <c r="AD404" s="99">
        <v>2</v>
      </c>
      <c r="AE404" s="99">
        <v>2</v>
      </c>
      <c r="AF404" s="99">
        <v>0</v>
      </c>
      <c r="AG404" s="99">
        <v>0</v>
      </c>
      <c r="AH404" s="99">
        <v>0</v>
      </c>
      <c r="AI404" s="99">
        <v>0</v>
      </c>
      <c r="AJ404" s="99">
        <v>2</v>
      </c>
      <c r="AK404" s="99">
        <v>2</v>
      </c>
      <c r="AL404" s="99">
        <v>0</v>
      </c>
      <c r="AM404" s="99">
        <v>2</v>
      </c>
      <c r="AN404" s="99">
        <v>2</v>
      </c>
      <c r="AO404" s="99">
        <v>0</v>
      </c>
      <c r="AP404" s="99">
        <v>0</v>
      </c>
      <c r="AQ404" s="99">
        <v>0</v>
      </c>
      <c r="AR404" s="99">
        <v>0</v>
      </c>
      <c r="AS404" s="99">
        <v>0</v>
      </c>
      <c r="AT404" s="99">
        <v>2</v>
      </c>
      <c r="AU404" s="99">
        <v>2</v>
      </c>
      <c r="AV404" s="99">
        <v>2</v>
      </c>
      <c r="AW404" s="99">
        <v>2</v>
      </c>
      <c r="AX404" s="99">
        <v>0</v>
      </c>
      <c r="AY404" s="99">
        <v>0</v>
      </c>
      <c r="AZ404" s="99">
        <v>0</v>
      </c>
      <c r="BA404" s="99">
        <v>0</v>
      </c>
      <c r="BB404" s="99">
        <v>0</v>
      </c>
      <c r="BC404" s="99">
        <v>0</v>
      </c>
      <c r="BD404" s="99">
        <v>2</v>
      </c>
      <c r="BE404" s="99">
        <v>2</v>
      </c>
      <c r="BF404" s="99">
        <v>0</v>
      </c>
      <c r="BG404" s="99">
        <v>2</v>
      </c>
      <c r="BH404" s="99">
        <v>2</v>
      </c>
      <c r="BI404" s="99">
        <v>2</v>
      </c>
      <c r="BJ404" s="99">
        <v>2</v>
      </c>
      <c r="BK404" s="99">
        <v>0</v>
      </c>
      <c r="BL404" s="99">
        <v>0</v>
      </c>
      <c r="BM404" s="99">
        <v>2</v>
      </c>
      <c r="BN404" s="99">
        <v>0</v>
      </c>
      <c r="BO404" s="99">
        <v>2</v>
      </c>
      <c r="BP404" s="99">
        <v>0</v>
      </c>
      <c r="BQ404" s="99">
        <v>0</v>
      </c>
      <c r="BR404" s="99">
        <v>0</v>
      </c>
      <c r="BS404" s="99">
        <v>0</v>
      </c>
      <c r="BT404" s="99">
        <v>0</v>
      </c>
      <c r="BU404" s="99">
        <v>0</v>
      </c>
      <c r="BV404" s="99">
        <v>0</v>
      </c>
      <c r="BW404" s="99">
        <v>0</v>
      </c>
      <c r="BX404" s="99">
        <v>2</v>
      </c>
      <c r="BY404" s="99">
        <v>2</v>
      </c>
      <c r="BZ404" s="99">
        <v>0</v>
      </c>
      <c r="CA404" s="99">
        <v>0</v>
      </c>
      <c r="CB404" s="99">
        <v>0</v>
      </c>
      <c r="CC404" s="99">
        <v>2</v>
      </c>
      <c r="CD404" s="99">
        <v>0</v>
      </c>
      <c r="CE404" s="99">
        <v>2</v>
      </c>
      <c r="CF404" s="99">
        <v>2</v>
      </c>
      <c r="CG404" s="99">
        <v>0</v>
      </c>
      <c r="CH404" s="99">
        <v>2</v>
      </c>
      <c r="CI404" s="99">
        <v>2</v>
      </c>
      <c r="CJ404" s="99">
        <v>2</v>
      </c>
      <c r="CK404" s="99">
        <v>2</v>
      </c>
      <c r="CL404" s="99">
        <v>2</v>
      </c>
      <c r="CM404" s="99">
        <v>0</v>
      </c>
      <c r="CN404" s="99">
        <v>2</v>
      </c>
      <c r="CO404" s="99">
        <v>0</v>
      </c>
      <c r="CP404" s="99">
        <v>2</v>
      </c>
      <c r="CQ404" s="99">
        <v>0</v>
      </c>
      <c r="CR404" s="99">
        <v>0</v>
      </c>
    </row>
    <row r="405" spans="1:96" x14ac:dyDescent="0.3">
      <c r="A405" s="99">
        <v>932</v>
      </c>
      <c r="B405" s="314">
        <v>932</v>
      </c>
      <c r="C405" s="99" t="s">
        <v>1796</v>
      </c>
      <c r="D405" s="99" t="s">
        <v>914</v>
      </c>
      <c r="F405" s="99">
        <v>0</v>
      </c>
      <c r="G405" s="99">
        <v>0</v>
      </c>
      <c r="H405" s="99">
        <v>0</v>
      </c>
      <c r="I405" s="99">
        <v>2</v>
      </c>
      <c r="J405" s="99">
        <v>0</v>
      </c>
      <c r="K405" s="99">
        <v>2</v>
      </c>
      <c r="L405" s="99">
        <v>0</v>
      </c>
      <c r="M405" s="99">
        <v>0</v>
      </c>
      <c r="N405" s="99">
        <v>2</v>
      </c>
      <c r="O405" s="99">
        <v>0</v>
      </c>
      <c r="P405" s="99">
        <v>0</v>
      </c>
      <c r="Q405" s="99">
        <v>2</v>
      </c>
      <c r="R405" s="99">
        <v>2</v>
      </c>
      <c r="S405" s="99">
        <v>2</v>
      </c>
      <c r="T405" s="99">
        <v>0</v>
      </c>
      <c r="U405" s="99">
        <v>0</v>
      </c>
      <c r="V405" s="99">
        <v>2</v>
      </c>
      <c r="W405" s="99">
        <v>0</v>
      </c>
      <c r="X405" s="99">
        <v>0</v>
      </c>
      <c r="Y405" s="99">
        <v>0</v>
      </c>
      <c r="Z405" s="99">
        <v>2</v>
      </c>
      <c r="AA405" s="99">
        <v>0</v>
      </c>
      <c r="AB405" s="99">
        <v>0</v>
      </c>
      <c r="AC405" s="99">
        <v>2</v>
      </c>
      <c r="AD405" s="99">
        <v>2</v>
      </c>
      <c r="AE405" s="99">
        <v>2</v>
      </c>
      <c r="AF405" s="99">
        <v>0</v>
      </c>
      <c r="AG405" s="99">
        <v>0</v>
      </c>
      <c r="AH405" s="99">
        <v>0</v>
      </c>
      <c r="AI405" s="99">
        <v>0</v>
      </c>
      <c r="AJ405" s="99">
        <v>2</v>
      </c>
      <c r="AK405" s="99">
        <v>2</v>
      </c>
      <c r="AL405" s="99">
        <v>0</v>
      </c>
      <c r="AM405" s="99">
        <v>2</v>
      </c>
      <c r="AN405" s="99">
        <v>2</v>
      </c>
      <c r="AO405" s="99">
        <v>0</v>
      </c>
      <c r="AP405" s="99">
        <v>0</v>
      </c>
      <c r="AQ405" s="99">
        <v>0</v>
      </c>
      <c r="AR405" s="99">
        <v>0</v>
      </c>
      <c r="AS405" s="99">
        <v>0</v>
      </c>
      <c r="AT405" s="99">
        <v>2</v>
      </c>
      <c r="AU405" s="99">
        <v>2</v>
      </c>
      <c r="AV405" s="99">
        <v>2</v>
      </c>
      <c r="AW405" s="99">
        <v>2</v>
      </c>
      <c r="AX405" s="99">
        <v>0</v>
      </c>
      <c r="AY405" s="99">
        <v>0</v>
      </c>
      <c r="AZ405" s="99">
        <v>0</v>
      </c>
      <c r="BA405" s="99">
        <v>0</v>
      </c>
      <c r="BB405" s="99">
        <v>0</v>
      </c>
      <c r="BC405" s="99">
        <v>0</v>
      </c>
      <c r="BD405" s="99">
        <v>2</v>
      </c>
      <c r="BE405" s="99">
        <v>2</v>
      </c>
      <c r="BF405" s="99">
        <v>0</v>
      </c>
      <c r="BG405" s="99">
        <v>2</v>
      </c>
      <c r="BH405" s="99">
        <v>2</v>
      </c>
      <c r="BI405" s="99">
        <v>2</v>
      </c>
      <c r="BJ405" s="99">
        <v>2</v>
      </c>
      <c r="BK405" s="99">
        <v>0</v>
      </c>
      <c r="BL405" s="99">
        <v>0</v>
      </c>
      <c r="BM405" s="99">
        <v>2</v>
      </c>
      <c r="BN405" s="99">
        <v>0</v>
      </c>
      <c r="BO405" s="99">
        <v>2</v>
      </c>
      <c r="BP405" s="99">
        <v>0</v>
      </c>
      <c r="BQ405" s="99">
        <v>0</v>
      </c>
      <c r="BR405" s="99">
        <v>0</v>
      </c>
      <c r="BS405" s="99">
        <v>0</v>
      </c>
      <c r="BT405" s="99">
        <v>0</v>
      </c>
      <c r="BU405" s="99">
        <v>0</v>
      </c>
      <c r="BV405" s="99">
        <v>0</v>
      </c>
      <c r="BW405" s="99">
        <v>0</v>
      </c>
      <c r="BX405" s="99">
        <v>2</v>
      </c>
      <c r="BY405" s="99">
        <v>2</v>
      </c>
      <c r="BZ405" s="99">
        <v>0</v>
      </c>
      <c r="CA405" s="99">
        <v>0</v>
      </c>
      <c r="CB405" s="99">
        <v>0</v>
      </c>
      <c r="CC405" s="99">
        <v>2</v>
      </c>
      <c r="CD405" s="99">
        <v>0</v>
      </c>
      <c r="CE405" s="99">
        <v>2</v>
      </c>
      <c r="CF405" s="99">
        <v>2</v>
      </c>
      <c r="CG405" s="99">
        <v>0</v>
      </c>
      <c r="CH405" s="99">
        <v>2</v>
      </c>
      <c r="CI405" s="99">
        <v>2</v>
      </c>
      <c r="CJ405" s="99">
        <v>2</v>
      </c>
      <c r="CK405" s="99">
        <v>1</v>
      </c>
      <c r="CL405" s="99">
        <v>2</v>
      </c>
      <c r="CM405" s="99">
        <v>0</v>
      </c>
      <c r="CN405" s="99">
        <v>2</v>
      </c>
      <c r="CO405" s="99">
        <v>0</v>
      </c>
      <c r="CP405" s="99">
        <v>2</v>
      </c>
      <c r="CQ405" s="99">
        <v>0</v>
      </c>
      <c r="CR405" s="99">
        <v>0</v>
      </c>
    </row>
    <row r="406" spans="1:96" x14ac:dyDescent="0.3">
      <c r="F406" s="1130">
        <v>53827</v>
      </c>
      <c r="G406" s="1130">
        <v>791580</v>
      </c>
      <c r="H406" s="1130">
        <v>804126</v>
      </c>
      <c r="I406" s="1130">
        <v>5312083</v>
      </c>
      <c r="J406" s="1130">
        <v>6200373</v>
      </c>
      <c r="K406" s="1130">
        <v>353490</v>
      </c>
      <c r="L406" s="1130">
        <v>79601897</v>
      </c>
      <c r="M406" s="1130">
        <v>1458922</v>
      </c>
      <c r="N406" s="1130">
        <v>62939</v>
      </c>
      <c r="O406" s="1130">
        <v>1650920</v>
      </c>
      <c r="P406" s="1130">
        <v>2496505</v>
      </c>
      <c r="Q406" s="1130">
        <v>51221</v>
      </c>
      <c r="R406" s="1130">
        <v>186558</v>
      </c>
      <c r="S406" s="1130">
        <v>333704</v>
      </c>
      <c r="T406" s="1130">
        <v>192436</v>
      </c>
      <c r="U406" s="1130">
        <v>644557</v>
      </c>
      <c r="V406" s="1130">
        <v>12044339</v>
      </c>
      <c r="W406" s="1130">
        <v>768116</v>
      </c>
      <c r="X406" s="1130">
        <v>2855914</v>
      </c>
      <c r="Y406" s="1130">
        <v>3059659</v>
      </c>
      <c r="Z406" s="1130">
        <v>4660012</v>
      </c>
      <c r="AA406" s="1130">
        <v>52237</v>
      </c>
      <c r="AB406" s="1130">
        <v>20753264</v>
      </c>
      <c r="AC406" s="1130">
        <v>3220100</v>
      </c>
      <c r="AD406" s="1130">
        <v>714008</v>
      </c>
      <c r="AE406" s="1130">
        <v>50475</v>
      </c>
      <c r="AF406" s="1130">
        <v>25203128</v>
      </c>
      <c r="AG406" s="1130">
        <v>74588</v>
      </c>
      <c r="AH406" s="1130">
        <v>26230143</v>
      </c>
      <c r="AI406" s="1130">
        <v>73043</v>
      </c>
      <c r="AJ406" s="1130">
        <v>1519698</v>
      </c>
      <c r="AK406" s="1130">
        <v>4021939</v>
      </c>
      <c r="AL406" s="1130">
        <v>2651534</v>
      </c>
      <c r="AM406" s="1130">
        <v>1611413</v>
      </c>
      <c r="AN406" s="1130">
        <v>50484</v>
      </c>
      <c r="AO406" s="1130">
        <v>123800</v>
      </c>
      <c r="AP406" s="1130">
        <v>127977</v>
      </c>
      <c r="AQ406" s="1130">
        <v>7177414</v>
      </c>
      <c r="AR406" s="99">
        <v>0</v>
      </c>
      <c r="AS406" s="1130">
        <v>56537</v>
      </c>
      <c r="AT406" s="1130">
        <v>50617</v>
      </c>
      <c r="AU406" s="1130">
        <v>101328</v>
      </c>
      <c r="AV406" s="1130">
        <v>50486</v>
      </c>
      <c r="AW406" s="1130">
        <v>288595</v>
      </c>
      <c r="AX406" s="1130">
        <v>5407637</v>
      </c>
      <c r="AY406" s="1130">
        <v>520643</v>
      </c>
      <c r="AZ406" s="1130">
        <v>32613868</v>
      </c>
      <c r="BA406" s="1130">
        <v>806236</v>
      </c>
      <c r="BB406" s="1130">
        <v>6968912</v>
      </c>
      <c r="BC406" s="1130">
        <v>50639</v>
      </c>
      <c r="BD406" s="1130">
        <v>1961622</v>
      </c>
      <c r="BE406" s="1130">
        <v>1423419</v>
      </c>
      <c r="BF406" s="1130">
        <v>473404</v>
      </c>
      <c r="BG406" s="1130">
        <v>5950616</v>
      </c>
      <c r="BH406" s="1130">
        <v>2684828</v>
      </c>
      <c r="BI406" s="1130">
        <v>43310538</v>
      </c>
      <c r="BJ406" s="1130">
        <v>55714</v>
      </c>
      <c r="BK406" s="1130">
        <v>50565</v>
      </c>
      <c r="BL406" s="1130">
        <v>1110126</v>
      </c>
      <c r="BM406" s="1130">
        <v>10581023</v>
      </c>
      <c r="BN406" s="1130">
        <v>5481514</v>
      </c>
      <c r="BO406" s="1130">
        <v>53097</v>
      </c>
      <c r="BP406" s="1130">
        <v>194202</v>
      </c>
      <c r="BQ406" s="1130">
        <v>2672199</v>
      </c>
      <c r="BR406" s="1130">
        <v>893789</v>
      </c>
      <c r="BS406" s="1130">
        <v>190409</v>
      </c>
      <c r="BT406" s="1130">
        <v>98007</v>
      </c>
      <c r="BU406" s="1130">
        <v>3334846</v>
      </c>
      <c r="BV406" s="1130">
        <v>452865</v>
      </c>
      <c r="BW406" s="99">
        <v>0</v>
      </c>
      <c r="BX406" s="1130">
        <v>50505</v>
      </c>
      <c r="BY406" s="1130">
        <v>8663690</v>
      </c>
      <c r="BZ406" s="1130">
        <v>141846</v>
      </c>
      <c r="CA406" s="99">
        <v>0</v>
      </c>
      <c r="CB406" s="1130">
        <v>13647329</v>
      </c>
      <c r="CC406" s="1130">
        <v>66351208</v>
      </c>
      <c r="CD406" s="1130">
        <v>102025384</v>
      </c>
      <c r="CE406" s="1130">
        <v>8164147</v>
      </c>
      <c r="CF406" s="1130">
        <v>17704021</v>
      </c>
      <c r="CG406" s="1130">
        <v>244070</v>
      </c>
      <c r="CH406" s="1130">
        <v>1753609</v>
      </c>
      <c r="CI406" s="1130">
        <v>216372332</v>
      </c>
      <c r="CJ406" s="1130">
        <v>20080837</v>
      </c>
      <c r="CK406" s="1130">
        <v>50514</v>
      </c>
      <c r="CL406" s="1130">
        <v>163994</v>
      </c>
      <c r="CM406" s="1130">
        <v>523962</v>
      </c>
      <c r="CN406" s="1130">
        <v>9842052</v>
      </c>
      <c r="CO406" s="1130">
        <v>3925333</v>
      </c>
      <c r="CP406" s="1130">
        <v>6557733</v>
      </c>
      <c r="CQ406" s="1130">
        <v>620410</v>
      </c>
      <c r="CR406" s="1130">
        <v>1555802</v>
      </c>
    </row>
    <row r="408" spans="1:96" x14ac:dyDescent="0.3">
      <c r="D408" s="99" t="s">
        <v>1799</v>
      </c>
      <c r="F408" s="1129">
        <v>6088006.8600000003</v>
      </c>
      <c r="G408" s="1129">
        <v>231796643.91999999</v>
      </c>
      <c r="H408" s="1129">
        <v>39812468.170000002</v>
      </c>
      <c r="I408" s="1129">
        <v>154308168.58000001</v>
      </c>
      <c r="J408" s="1129">
        <v>107614529.36</v>
      </c>
      <c r="K408" s="1129">
        <v>29941071.289999999</v>
      </c>
      <c r="L408" s="1129">
        <v>1858917783.01</v>
      </c>
      <c r="M408" s="1129">
        <v>40237688.859999999</v>
      </c>
      <c r="N408" s="1129">
        <v>7316394.3499999996</v>
      </c>
      <c r="O408" s="1129">
        <v>54226689</v>
      </c>
      <c r="P408" s="1129">
        <v>58863547.82</v>
      </c>
      <c r="Q408" s="1129">
        <v>2490570.5499999998</v>
      </c>
      <c r="R408" s="1129">
        <v>25496482.77</v>
      </c>
      <c r="S408" s="1129">
        <v>34974940.939999998</v>
      </c>
      <c r="T408" s="1129">
        <v>81591860.469999999</v>
      </c>
      <c r="U408" s="1129">
        <v>174541573.75</v>
      </c>
      <c r="V408" s="1129">
        <v>452920655.29000002</v>
      </c>
      <c r="W408" s="1129">
        <v>80569187.120000005</v>
      </c>
      <c r="X408" s="1129">
        <v>62105773</v>
      </c>
      <c r="Y408" s="1129">
        <v>121850871.78</v>
      </c>
      <c r="Z408" s="1129">
        <v>129654503.40000001</v>
      </c>
      <c r="AA408" s="1129">
        <v>1013067.37</v>
      </c>
      <c r="AB408" s="1129">
        <v>747335664.40999997</v>
      </c>
      <c r="AC408" s="1129">
        <v>119467733.23</v>
      </c>
      <c r="AD408" s="1129">
        <v>23033521.82</v>
      </c>
      <c r="AE408" s="1129">
        <v>22883717.539999999</v>
      </c>
      <c r="AF408" s="1129">
        <v>846467014.67999995</v>
      </c>
      <c r="AG408" s="1129">
        <v>25729527.219999999</v>
      </c>
      <c r="AH408" s="1129">
        <v>152906411.63999999</v>
      </c>
      <c r="AI408" s="1129">
        <v>45980111.68</v>
      </c>
      <c r="AJ408" s="1129">
        <v>33048222.91</v>
      </c>
      <c r="AK408" s="1129">
        <v>206395818.66999999</v>
      </c>
      <c r="AL408" s="1129">
        <v>165364760.47999999</v>
      </c>
      <c r="AM408" s="1129">
        <v>120073675.65000001</v>
      </c>
      <c r="AN408" s="1129">
        <v>94107051.579999998</v>
      </c>
      <c r="AO408" s="1129">
        <v>4198639.8099999996</v>
      </c>
      <c r="AP408" s="1129">
        <v>25077223.510000002</v>
      </c>
      <c r="AQ408" s="1129">
        <v>254107712.58000001</v>
      </c>
      <c r="AR408" s="99">
        <v>0</v>
      </c>
      <c r="AS408" s="1129">
        <v>7264197.6399999997</v>
      </c>
      <c r="AT408" s="1129">
        <v>15820009.35</v>
      </c>
      <c r="AU408" s="1129">
        <v>13210272.66</v>
      </c>
      <c r="AV408" s="1129">
        <v>2435156.83</v>
      </c>
      <c r="AW408" s="1129">
        <v>11844827.539999999</v>
      </c>
      <c r="AX408" s="1129">
        <v>175582474.28</v>
      </c>
      <c r="AY408" s="1129">
        <v>33846188</v>
      </c>
      <c r="AZ408" s="1129">
        <v>1630374967.9100001</v>
      </c>
      <c r="BA408" s="1129">
        <v>59954049.909999996</v>
      </c>
      <c r="BB408" s="1129">
        <v>214336313.78999999</v>
      </c>
      <c r="BC408" s="1129">
        <v>39700877.219999999</v>
      </c>
      <c r="BD408" s="1129">
        <v>53499610.149999999</v>
      </c>
      <c r="BE408" s="1129">
        <v>54833522.789999999</v>
      </c>
      <c r="BF408" s="1129">
        <v>16600338.07</v>
      </c>
      <c r="BG408" s="1129">
        <v>74617763.209999993</v>
      </c>
      <c r="BH408" s="1129">
        <v>141337428.55000001</v>
      </c>
      <c r="BI408" s="1129">
        <v>1004079527.41</v>
      </c>
      <c r="BJ408" s="1129">
        <v>5562385.5199999996</v>
      </c>
      <c r="BK408" s="1129">
        <v>2570727.29</v>
      </c>
      <c r="BL408" s="1129">
        <v>393149929.5</v>
      </c>
      <c r="BM408" s="1129">
        <v>593295412.60000002</v>
      </c>
      <c r="BN408" s="1129">
        <v>249051840.97999999</v>
      </c>
      <c r="BO408" s="1129">
        <v>2260586.33</v>
      </c>
      <c r="BP408" s="1129">
        <v>43140306.57</v>
      </c>
      <c r="BQ408" s="1129">
        <v>92995921.819999993</v>
      </c>
      <c r="BR408" s="1129">
        <v>155680331.03</v>
      </c>
      <c r="BS408" s="1129">
        <v>28603569</v>
      </c>
      <c r="BT408" s="1129">
        <v>26122226.449999999</v>
      </c>
      <c r="BU408" s="1129">
        <v>107724569.13</v>
      </c>
      <c r="BV408" s="1129">
        <v>75588501.269999996</v>
      </c>
      <c r="BW408" s="99">
        <v>0</v>
      </c>
      <c r="BX408" s="1129">
        <v>74805541.810000002</v>
      </c>
      <c r="BY408" s="1129">
        <v>219170595.21000001</v>
      </c>
      <c r="BZ408" s="1129">
        <v>8834040.0299999993</v>
      </c>
      <c r="CA408" s="99">
        <v>0</v>
      </c>
      <c r="CB408" s="1129">
        <v>309930021.38</v>
      </c>
      <c r="CC408" s="1129">
        <v>3850436260.4699998</v>
      </c>
      <c r="CD408" s="1129">
        <v>3337474612.27</v>
      </c>
      <c r="CE408" s="1129">
        <v>51198193.259999998</v>
      </c>
      <c r="CF408" s="1129">
        <v>184117299.47999999</v>
      </c>
      <c r="CG408" s="1129">
        <v>31790455.710000001</v>
      </c>
      <c r="CH408" s="1129">
        <v>95199724.769999996</v>
      </c>
      <c r="CI408" s="1129">
        <v>11204231049.42</v>
      </c>
      <c r="CJ408" s="1129">
        <v>450237228.69999999</v>
      </c>
      <c r="CK408" s="1129">
        <v>46842934.960000001</v>
      </c>
      <c r="CL408" s="1129">
        <v>61017007.039999999</v>
      </c>
      <c r="CM408" s="1129">
        <v>30497500.199999999</v>
      </c>
      <c r="CN408" s="1129">
        <v>341977733.12</v>
      </c>
      <c r="CO408" s="1129">
        <v>158215208.62</v>
      </c>
      <c r="CP408" s="1129">
        <v>110746906.68000001</v>
      </c>
      <c r="CQ408" s="1129">
        <v>46295812.93</v>
      </c>
      <c r="CR408" s="1129">
        <v>294196557.08999997</v>
      </c>
    </row>
    <row r="410" spans="1:96" x14ac:dyDescent="0.3">
      <c r="E410" s="99">
        <v>576</v>
      </c>
      <c r="F410" s="1171">
        <f>F226</f>
        <v>0</v>
      </c>
      <c r="G410" s="1171">
        <f t="shared" ref="G410:BR410" si="90">G226</f>
        <v>0</v>
      </c>
      <c r="H410" s="1171">
        <f t="shared" si="90"/>
        <v>0</v>
      </c>
      <c r="I410" s="1171">
        <f t="shared" si="90"/>
        <v>0</v>
      </c>
      <c r="J410" s="1171">
        <f t="shared" si="90"/>
        <v>0</v>
      </c>
      <c r="K410" s="1171">
        <f t="shared" si="90"/>
        <v>0</v>
      </c>
      <c r="L410" s="1171">
        <f t="shared" si="90"/>
        <v>0</v>
      </c>
      <c r="M410" s="1171">
        <f t="shared" si="90"/>
        <v>0</v>
      </c>
      <c r="N410" s="1171">
        <f t="shared" si="90"/>
        <v>0</v>
      </c>
      <c r="O410" s="1171">
        <f t="shared" si="90"/>
        <v>0</v>
      </c>
      <c r="P410" s="1171">
        <f t="shared" si="90"/>
        <v>18415</v>
      </c>
      <c r="Q410" s="1171">
        <f t="shared" si="90"/>
        <v>0</v>
      </c>
      <c r="R410" s="1171">
        <f t="shared" si="90"/>
        <v>0</v>
      </c>
      <c r="S410" s="1171">
        <f t="shared" si="90"/>
        <v>0</v>
      </c>
      <c r="T410" s="1171">
        <f t="shared" si="90"/>
        <v>0</v>
      </c>
      <c r="U410" s="1171">
        <f t="shared" si="90"/>
        <v>0</v>
      </c>
      <c r="V410" s="1171">
        <f t="shared" si="90"/>
        <v>0</v>
      </c>
      <c r="W410" s="1171">
        <f t="shared" si="90"/>
        <v>0</v>
      </c>
      <c r="X410" s="1171">
        <f t="shared" si="90"/>
        <v>0</v>
      </c>
      <c r="Y410" s="1171">
        <f t="shared" si="90"/>
        <v>0</v>
      </c>
      <c r="Z410" s="1171">
        <f t="shared" si="90"/>
        <v>0</v>
      </c>
      <c r="AA410" s="1171">
        <f t="shared" si="90"/>
        <v>0</v>
      </c>
      <c r="AB410" s="1171">
        <f t="shared" si="90"/>
        <v>0</v>
      </c>
      <c r="AC410" s="1171">
        <f t="shared" si="90"/>
        <v>0</v>
      </c>
      <c r="AD410" s="1171">
        <f t="shared" si="90"/>
        <v>0</v>
      </c>
      <c r="AE410" s="1171">
        <f t="shared" si="90"/>
        <v>0</v>
      </c>
      <c r="AF410" s="1171">
        <f t="shared" si="90"/>
        <v>0</v>
      </c>
      <c r="AG410" s="1171">
        <f t="shared" si="90"/>
        <v>0</v>
      </c>
      <c r="AH410" s="1171">
        <f t="shared" si="90"/>
        <v>0</v>
      </c>
      <c r="AI410" s="1171">
        <f t="shared" si="90"/>
        <v>0</v>
      </c>
      <c r="AJ410" s="1171">
        <f t="shared" si="90"/>
        <v>0</v>
      </c>
      <c r="AK410" s="1171">
        <f t="shared" si="90"/>
        <v>0</v>
      </c>
      <c r="AL410" s="1171">
        <f t="shared" si="90"/>
        <v>160390</v>
      </c>
      <c r="AM410" s="1171">
        <f t="shared" si="90"/>
        <v>23692</v>
      </c>
      <c r="AN410" s="1171">
        <f t="shared" si="90"/>
        <v>0</v>
      </c>
      <c r="AO410" s="1171">
        <f t="shared" si="90"/>
        <v>0</v>
      </c>
      <c r="AP410" s="1171">
        <f t="shared" si="90"/>
        <v>0</v>
      </c>
      <c r="AQ410" s="1171">
        <f t="shared" si="90"/>
        <v>0</v>
      </c>
      <c r="AR410" s="1171">
        <f t="shared" si="90"/>
        <v>0</v>
      </c>
      <c r="AS410" s="1171">
        <f t="shared" si="90"/>
        <v>0</v>
      </c>
      <c r="AT410" s="1171">
        <f t="shared" si="90"/>
        <v>0</v>
      </c>
      <c r="AU410" s="1171">
        <f t="shared" si="90"/>
        <v>0</v>
      </c>
      <c r="AV410" s="1171">
        <f t="shared" si="90"/>
        <v>0</v>
      </c>
      <c r="AW410" s="1171">
        <f t="shared" si="90"/>
        <v>0</v>
      </c>
      <c r="AX410" s="1171">
        <f t="shared" si="90"/>
        <v>13250</v>
      </c>
      <c r="AY410" s="1171">
        <f t="shared" si="90"/>
        <v>0</v>
      </c>
      <c r="AZ410" s="1171">
        <f t="shared" si="90"/>
        <v>0</v>
      </c>
      <c r="BA410" s="1171">
        <f t="shared" si="90"/>
        <v>5000</v>
      </c>
      <c r="BB410" s="1171">
        <f t="shared" si="90"/>
        <v>900000</v>
      </c>
      <c r="BC410" s="1171">
        <f t="shared" si="90"/>
        <v>0</v>
      </c>
      <c r="BD410" s="1171">
        <f t="shared" si="90"/>
        <v>0</v>
      </c>
      <c r="BE410" s="1171">
        <f t="shared" si="90"/>
        <v>22428</v>
      </c>
      <c r="BF410" s="1171">
        <f t="shared" si="90"/>
        <v>0</v>
      </c>
      <c r="BG410" s="1171">
        <f t="shared" si="90"/>
        <v>0</v>
      </c>
      <c r="BH410" s="1171">
        <f t="shared" si="90"/>
        <v>0</v>
      </c>
      <c r="BI410" s="1171">
        <f t="shared" si="90"/>
        <v>0</v>
      </c>
      <c r="BJ410" s="1171">
        <f t="shared" si="90"/>
        <v>0</v>
      </c>
      <c r="BK410" s="1171">
        <f t="shared" si="90"/>
        <v>0</v>
      </c>
      <c r="BL410" s="1171">
        <f t="shared" si="90"/>
        <v>0</v>
      </c>
      <c r="BM410" s="1171">
        <f t="shared" si="90"/>
        <v>216436</v>
      </c>
      <c r="BN410" s="1171">
        <f t="shared" si="90"/>
        <v>0</v>
      </c>
      <c r="BO410" s="1171">
        <f t="shared" si="90"/>
        <v>0</v>
      </c>
      <c r="BP410" s="1171">
        <f t="shared" si="90"/>
        <v>0</v>
      </c>
      <c r="BQ410" s="1171">
        <f t="shared" si="90"/>
        <v>0</v>
      </c>
      <c r="BR410" s="1171">
        <f t="shared" si="90"/>
        <v>0</v>
      </c>
      <c r="BS410" s="1171">
        <f t="shared" ref="BS410:CR410" si="91">BS226</f>
        <v>0</v>
      </c>
      <c r="BT410" s="1171">
        <f t="shared" si="91"/>
        <v>0</v>
      </c>
      <c r="BU410" s="1171">
        <f t="shared" si="91"/>
        <v>0</v>
      </c>
      <c r="BV410" s="1171">
        <f t="shared" si="91"/>
        <v>0</v>
      </c>
      <c r="BW410" s="1171">
        <f t="shared" si="91"/>
        <v>0</v>
      </c>
      <c r="BX410" s="1171">
        <f t="shared" si="91"/>
        <v>0</v>
      </c>
      <c r="BY410" s="1171">
        <f t="shared" si="91"/>
        <v>0</v>
      </c>
      <c r="BZ410" s="1171">
        <f t="shared" si="91"/>
        <v>0</v>
      </c>
      <c r="CA410" s="1171">
        <f t="shared" si="91"/>
        <v>0</v>
      </c>
      <c r="CB410" s="1171">
        <f t="shared" si="91"/>
        <v>22614</v>
      </c>
      <c r="CC410" s="1171">
        <f t="shared" si="91"/>
        <v>0</v>
      </c>
      <c r="CD410" s="1171">
        <f t="shared" si="91"/>
        <v>0</v>
      </c>
      <c r="CE410" s="1171">
        <f t="shared" si="91"/>
        <v>0</v>
      </c>
      <c r="CF410" s="1171">
        <f t="shared" si="91"/>
        <v>360234</v>
      </c>
      <c r="CG410" s="1171">
        <f t="shared" si="91"/>
        <v>0</v>
      </c>
      <c r="CH410" s="1171">
        <f t="shared" si="91"/>
        <v>0</v>
      </c>
      <c r="CI410" s="1171">
        <f t="shared" si="91"/>
        <v>0</v>
      </c>
      <c r="CJ410" s="1171">
        <f t="shared" si="91"/>
        <v>2941181</v>
      </c>
      <c r="CK410" s="1171">
        <f t="shared" si="91"/>
        <v>0</v>
      </c>
      <c r="CL410" s="1171">
        <f t="shared" si="91"/>
        <v>0</v>
      </c>
      <c r="CM410" s="1171">
        <f t="shared" si="91"/>
        <v>0</v>
      </c>
      <c r="CN410" s="1171">
        <f t="shared" si="91"/>
        <v>0</v>
      </c>
      <c r="CO410" s="1171">
        <f t="shared" si="91"/>
        <v>0</v>
      </c>
      <c r="CP410" s="1171">
        <f t="shared" si="91"/>
        <v>0</v>
      </c>
      <c r="CQ410" s="1171">
        <f t="shared" si="91"/>
        <v>0</v>
      </c>
      <c r="CR410" s="1171">
        <f t="shared" si="91"/>
        <v>0</v>
      </c>
    </row>
    <row r="411" spans="1:96" x14ac:dyDescent="0.3">
      <c r="E411" s="99">
        <v>576</v>
      </c>
      <c r="F411" s="1171">
        <f>F226</f>
        <v>0</v>
      </c>
      <c r="G411" s="1171">
        <f t="shared" ref="G411:BR411" si="92">G226</f>
        <v>0</v>
      </c>
      <c r="H411" s="1171">
        <f t="shared" si="92"/>
        <v>0</v>
      </c>
      <c r="I411" s="1171">
        <f t="shared" si="92"/>
        <v>0</v>
      </c>
      <c r="J411" s="1171">
        <f t="shared" si="92"/>
        <v>0</v>
      </c>
      <c r="K411" s="1171">
        <f t="shared" si="92"/>
        <v>0</v>
      </c>
      <c r="L411" s="1171">
        <f t="shared" si="92"/>
        <v>0</v>
      </c>
      <c r="M411" s="1171">
        <f t="shared" si="92"/>
        <v>0</v>
      </c>
      <c r="N411" s="1171">
        <f t="shared" si="92"/>
        <v>0</v>
      </c>
      <c r="O411" s="1171">
        <f t="shared" si="92"/>
        <v>0</v>
      </c>
      <c r="P411" s="1171">
        <f t="shared" si="92"/>
        <v>18415</v>
      </c>
      <c r="Q411" s="1171">
        <f t="shared" si="92"/>
        <v>0</v>
      </c>
      <c r="R411" s="1171">
        <f t="shared" si="92"/>
        <v>0</v>
      </c>
      <c r="S411" s="1171">
        <f t="shared" si="92"/>
        <v>0</v>
      </c>
      <c r="T411" s="1171">
        <f t="shared" si="92"/>
        <v>0</v>
      </c>
      <c r="U411" s="1171">
        <f t="shared" si="92"/>
        <v>0</v>
      </c>
      <c r="V411" s="1171">
        <f t="shared" si="92"/>
        <v>0</v>
      </c>
      <c r="W411" s="1171">
        <f t="shared" si="92"/>
        <v>0</v>
      </c>
      <c r="X411" s="1171">
        <f t="shared" si="92"/>
        <v>0</v>
      </c>
      <c r="Y411" s="1171">
        <f t="shared" si="92"/>
        <v>0</v>
      </c>
      <c r="Z411" s="1171">
        <f t="shared" si="92"/>
        <v>0</v>
      </c>
      <c r="AA411" s="1171">
        <f t="shared" si="92"/>
        <v>0</v>
      </c>
      <c r="AB411" s="1171">
        <f t="shared" si="92"/>
        <v>0</v>
      </c>
      <c r="AC411" s="1171">
        <f t="shared" si="92"/>
        <v>0</v>
      </c>
      <c r="AD411" s="1171">
        <f t="shared" si="92"/>
        <v>0</v>
      </c>
      <c r="AE411" s="1171">
        <f t="shared" si="92"/>
        <v>0</v>
      </c>
      <c r="AF411" s="1171">
        <f t="shared" si="92"/>
        <v>0</v>
      </c>
      <c r="AG411" s="1171">
        <f t="shared" si="92"/>
        <v>0</v>
      </c>
      <c r="AH411" s="1171">
        <f t="shared" si="92"/>
        <v>0</v>
      </c>
      <c r="AI411" s="1171">
        <f t="shared" si="92"/>
        <v>0</v>
      </c>
      <c r="AJ411" s="1171">
        <f t="shared" si="92"/>
        <v>0</v>
      </c>
      <c r="AK411" s="1171">
        <f t="shared" si="92"/>
        <v>0</v>
      </c>
      <c r="AL411" s="1171">
        <f t="shared" si="92"/>
        <v>160390</v>
      </c>
      <c r="AM411" s="1171">
        <f t="shared" si="92"/>
        <v>23692</v>
      </c>
      <c r="AN411" s="1171">
        <f t="shared" si="92"/>
        <v>0</v>
      </c>
      <c r="AO411" s="1171">
        <f t="shared" si="92"/>
        <v>0</v>
      </c>
      <c r="AP411" s="1171">
        <f t="shared" si="92"/>
        <v>0</v>
      </c>
      <c r="AQ411" s="1171">
        <f t="shared" si="92"/>
        <v>0</v>
      </c>
      <c r="AR411" s="1171">
        <f t="shared" si="92"/>
        <v>0</v>
      </c>
      <c r="AS411" s="1171">
        <f t="shared" si="92"/>
        <v>0</v>
      </c>
      <c r="AT411" s="1171">
        <f t="shared" si="92"/>
        <v>0</v>
      </c>
      <c r="AU411" s="1171">
        <f t="shared" si="92"/>
        <v>0</v>
      </c>
      <c r="AV411" s="1171">
        <f t="shared" si="92"/>
        <v>0</v>
      </c>
      <c r="AW411" s="1171">
        <f t="shared" si="92"/>
        <v>0</v>
      </c>
      <c r="AX411" s="1171">
        <f t="shared" si="92"/>
        <v>13250</v>
      </c>
      <c r="AY411" s="1171">
        <f t="shared" si="92"/>
        <v>0</v>
      </c>
      <c r="AZ411" s="1171">
        <f t="shared" si="92"/>
        <v>0</v>
      </c>
      <c r="BA411" s="1171">
        <f t="shared" si="92"/>
        <v>5000</v>
      </c>
      <c r="BB411" s="1171">
        <f t="shared" si="92"/>
        <v>900000</v>
      </c>
      <c r="BC411" s="1171">
        <f t="shared" si="92"/>
        <v>0</v>
      </c>
      <c r="BD411" s="1171">
        <f t="shared" si="92"/>
        <v>0</v>
      </c>
      <c r="BE411" s="1171">
        <f t="shared" si="92"/>
        <v>22428</v>
      </c>
      <c r="BF411" s="1171">
        <f t="shared" si="92"/>
        <v>0</v>
      </c>
      <c r="BG411" s="1171">
        <f t="shared" si="92"/>
        <v>0</v>
      </c>
      <c r="BH411" s="1171">
        <f t="shared" si="92"/>
        <v>0</v>
      </c>
      <c r="BI411" s="1171">
        <f t="shared" si="92"/>
        <v>0</v>
      </c>
      <c r="BJ411" s="1171">
        <f t="shared" si="92"/>
        <v>0</v>
      </c>
      <c r="BK411" s="1171">
        <f t="shared" si="92"/>
        <v>0</v>
      </c>
      <c r="BL411" s="1171">
        <f t="shared" si="92"/>
        <v>0</v>
      </c>
      <c r="BM411" s="1171">
        <f t="shared" si="92"/>
        <v>216436</v>
      </c>
      <c r="BN411" s="1171">
        <f t="shared" si="92"/>
        <v>0</v>
      </c>
      <c r="BO411" s="1171">
        <f t="shared" si="92"/>
        <v>0</v>
      </c>
      <c r="BP411" s="1171">
        <f t="shared" si="92"/>
        <v>0</v>
      </c>
      <c r="BQ411" s="1171">
        <f t="shared" si="92"/>
        <v>0</v>
      </c>
      <c r="BR411" s="1171">
        <f t="shared" si="92"/>
        <v>0</v>
      </c>
      <c r="BS411" s="1171">
        <f t="shared" ref="BS411:CR411" si="93">BS226</f>
        <v>0</v>
      </c>
      <c r="BT411" s="1171">
        <f t="shared" si="93"/>
        <v>0</v>
      </c>
      <c r="BU411" s="1171">
        <f t="shared" si="93"/>
        <v>0</v>
      </c>
      <c r="BV411" s="1171">
        <f t="shared" si="93"/>
        <v>0</v>
      </c>
      <c r="BW411" s="1171">
        <f t="shared" si="93"/>
        <v>0</v>
      </c>
      <c r="BX411" s="1171">
        <f t="shared" si="93"/>
        <v>0</v>
      </c>
      <c r="BY411" s="1171">
        <f t="shared" si="93"/>
        <v>0</v>
      </c>
      <c r="BZ411" s="1171">
        <f t="shared" si="93"/>
        <v>0</v>
      </c>
      <c r="CA411" s="1171">
        <f t="shared" si="93"/>
        <v>0</v>
      </c>
      <c r="CB411" s="1171">
        <f t="shared" si="93"/>
        <v>22614</v>
      </c>
      <c r="CC411" s="1171">
        <f t="shared" si="93"/>
        <v>0</v>
      </c>
      <c r="CD411" s="1171">
        <f t="shared" si="93"/>
        <v>0</v>
      </c>
      <c r="CE411" s="1171">
        <f t="shared" si="93"/>
        <v>0</v>
      </c>
      <c r="CF411" s="1171">
        <f t="shared" si="93"/>
        <v>360234</v>
      </c>
      <c r="CG411" s="1171">
        <f t="shared" si="93"/>
        <v>0</v>
      </c>
      <c r="CH411" s="1171">
        <f t="shared" si="93"/>
        <v>0</v>
      </c>
      <c r="CI411" s="1171">
        <f t="shared" si="93"/>
        <v>0</v>
      </c>
      <c r="CJ411" s="1171">
        <f t="shared" si="93"/>
        <v>2941181</v>
      </c>
      <c r="CK411" s="1171">
        <f t="shared" si="93"/>
        <v>0</v>
      </c>
      <c r="CL411" s="1171">
        <f t="shared" si="93"/>
        <v>0</v>
      </c>
      <c r="CM411" s="1171">
        <f t="shared" si="93"/>
        <v>0</v>
      </c>
      <c r="CN411" s="1171">
        <f t="shared" si="93"/>
        <v>0</v>
      </c>
      <c r="CO411" s="1171">
        <f t="shared" si="93"/>
        <v>0</v>
      </c>
      <c r="CP411" s="1171">
        <f t="shared" si="93"/>
        <v>0</v>
      </c>
      <c r="CQ411" s="1171">
        <f t="shared" si="93"/>
        <v>0</v>
      </c>
      <c r="CR411" s="1171">
        <f t="shared" si="93"/>
        <v>0</v>
      </c>
    </row>
    <row r="413" spans="1:96" x14ac:dyDescent="0.3">
      <c r="F413" s="1172">
        <f>F408-F410-F411</f>
        <v>6088006.8600000003</v>
      </c>
      <c r="G413" s="1172">
        <f t="shared" ref="G413:BR413" si="94">G408-G410-G411</f>
        <v>231796643.91999999</v>
      </c>
      <c r="H413" s="1172">
        <f t="shared" si="94"/>
        <v>39812468.170000002</v>
      </c>
      <c r="I413" s="1172">
        <f t="shared" si="94"/>
        <v>154308168.58000001</v>
      </c>
      <c r="J413" s="1172">
        <f t="shared" si="94"/>
        <v>107614529.36</v>
      </c>
      <c r="K413" s="1172">
        <f t="shared" si="94"/>
        <v>29941071.289999999</v>
      </c>
      <c r="L413" s="1172">
        <f t="shared" si="94"/>
        <v>1858917783.01</v>
      </c>
      <c r="M413" s="1172">
        <f t="shared" si="94"/>
        <v>40237688.859999999</v>
      </c>
      <c r="N413" s="1172">
        <f t="shared" si="94"/>
        <v>7316394.3499999996</v>
      </c>
      <c r="O413" s="1172">
        <f t="shared" si="94"/>
        <v>54226689</v>
      </c>
      <c r="P413" s="1172">
        <f t="shared" si="94"/>
        <v>58826717.82</v>
      </c>
      <c r="Q413" s="1172">
        <f t="shared" si="94"/>
        <v>2490570.5499999998</v>
      </c>
      <c r="R413" s="1172">
        <f t="shared" si="94"/>
        <v>25496482.77</v>
      </c>
      <c r="S413" s="1172">
        <f t="shared" si="94"/>
        <v>34974940.939999998</v>
      </c>
      <c r="T413" s="1172">
        <f t="shared" si="94"/>
        <v>81591860.469999999</v>
      </c>
      <c r="U413" s="1172">
        <f t="shared" si="94"/>
        <v>174541573.75</v>
      </c>
      <c r="V413" s="1172">
        <f t="shared" si="94"/>
        <v>452920655.29000002</v>
      </c>
      <c r="W413" s="1172">
        <f t="shared" si="94"/>
        <v>80569187.120000005</v>
      </c>
      <c r="X413" s="1172">
        <f t="shared" si="94"/>
        <v>62105773</v>
      </c>
      <c r="Y413" s="1172">
        <f t="shared" si="94"/>
        <v>121850871.78</v>
      </c>
      <c r="Z413" s="1172">
        <f t="shared" si="94"/>
        <v>129654503.40000001</v>
      </c>
      <c r="AA413" s="1172">
        <f t="shared" si="94"/>
        <v>1013067.37</v>
      </c>
      <c r="AB413" s="1172">
        <f t="shared" si="94"/>
        <v>747335664.40999997</v>
      </c>
      <c r="AC413" s="1172">
        <f t="shared" si="94"/>
        <v>119467733.23</v>
      </c>
      <c r="AD413" s="1172">
        <f t="shared" si="94"/>
        <v>23033521.82</v>
      </c>
      <c r="AE413" s="1172">
        <f t="shared" si="94"/>
        <v>22883717.539999999</v>
      </c>
      <c r="AF413" s="1172">
        <f t="shared" si="94"/>
        <v>846467014.67999995</v>
      </c>
      <c r="AG413" s="1172">
        <f t="shared" si="94"/>
        <v>25729527.219999999</v>
      </c>
      <c r="AH413" s="1172">
        <f t="shared" si="94"/>
        <v>152906411.63999999</v>
      </c>
      <c r="AI413" s="1172">
        <f t="shared" si="94"/>
        <v>45980111.68</v>
      </c>
      <c r="AJ413" s="1172">
        <f t="shared" si="94"/>
        <v>33048222.91</v>
      </c>
      <c r="AK413" s="1172">
        <f t="shared" si="94"/>
        <v>206395818.66999999</v>
      </c>
      <c r="AL413" s="1172">
        <f t="shared" si="94"/>
        <v>165043980.47999999</v>
      </c>
      <c r="AM413" s="1172">
        <f t="shared" si="94"/>
        <v>120026291.65000001</v>
      </c>
      <c r="AN413" s="1172">
        <f t="shared" si="94"/>
        <v>94107051.579999998</v>
      </c>
      <c r="AO413" s="1172">
        <f t="shared" si="94"/>
        <v>4198639.8099999996</v>
      </c>
      <c r="AP413" s="1172">
        <f t="shared" si="94"/>
        <v>25077223.510000002</v>
      </c>
      <c r="AQ413" s="1172">
        <f t="shared" si="94"/>
        <v>254107712.58000001</v>
      </c>
      <c r="AR413" s="1172">
        <f t="shared" si="94"/>
        <v>0</v>
      </c>
      <c r="AS413" s="1172">
        <f t="shared" si="94"/>
        <v>7264197.6399999997</v>
      </c>
      <c r="AT413" s="1172">
        <f t="shared" si="94"/>
        <v>15820009.35</v>
      </c>
      <c r="AU413" s="1172">
        <f t="shared" si="94"/>
        <v>13210272.66</v>
      </c>
      <c r="AV413" s="1172">
        <f t="shared" si="94"/>
        <v>2435156.83</v>
      </c>
      <c r="AW413" s="1172">
        <f t="shared" si="94"/>
        <v>11844827.539999999</v>
      </c>
      <c r="AX413" s="1172">
        <f t="shared" si="94"/>
        <v>175555974.28</v>
      </c>
      <c r="AY413" s="1172">
        <f t="shared" si="94"/>
        <v>33846188</v>
      </c>
      <c r="AZ413" s="1172">
        <f t="shared" si="94"/>
        <v>1630374967.9100001</v>
      </c>
      <c r="BA413" s="1172">
        <f t="shared" si="94"/>
        <v>59944049.909999996</v>
      </c>
      <c r="BB413" s="1172">
        <f t="shared" si="94"/>
        <v>212536313.78999999</v>
      </c>
      <c r="BC413" s="1172">
        <f t="shared" si="94"/>
        <v>39700877.219999999</v>
      </c>
      <c r="BD413" s="1172">
        <f t="shared" si="94"/>
        <v>53499610.149999999</v>
      </c>
      <c r="BE413" s="1172">
        <f t="shared" si="94"/>
        <v>54788666.789999999</v>
      </c>
      <c r="BF413" s="1172">
        <f t="shared" si="94"/>
        <v>16600338.07</v>
      </c>
      <c r="BG413" s="1172">
        <f t="shared" si="94"/>
        <v>74617763.209999993</v>
      </c>
      <c r="BH413" s="1172">
        <f t="shared" si="94"/>
        <v>141337428.55000001</v>
      </c>
      <c r="BI413" s="1172">
        <f t="shared" si="94"/>
        <v>1004079527.41</v>
      </c>
      <c r="BJ413" s="1172">
        <f t="shared" si="94"/>
        <v>5562385.5199999996</v>
      </c>
      <c r="BK413" s="1172">
        <f t="shared" si="94"/>
        <v>2570727.29</v>
      </c>
      <c r="BL413" s="1172">
        <f t="shared" si="94"/>
        <v>393149929.5</v>
      </c>
      <c r="BM413" s="1172">
        <f t="shared" si="94"/>
        <v>592862540.60000002</v>
      </c>
      <c r="BN413" s="1172">
        <f t="shared" si="94"/>
        <v>249051840.97999999</v>
      </c>
      <c r="BO413" s="1172">
        <f t="shared" si="94"/>
        <v>2260586.33</v>
      </c>
      <c r="BP413" s="1172">
        <f t="shared" si="94"/>
        <v>43140306.57</v>
      </c>
      <c r="BQ413" s="1172">
        <f t="shared" si="94"/>
        <v>92995921.819999993</v>
      </c>
      <c r="BR413" s="1172">
        <f t="shared" si="94"/>
        <v>155680331.03</v>
      </c>
      <c r="BS413" s="1172">
        <f t="shared" ref="BS413:CR413" si="95">BS408-BS410-BS411</f>
        <v>28603569</v>
      </c>
      <c r="BT413" s="1172">
        <f t="shared" si="95"/>
        <v>26122226.449999999</v>
      </c>
      <c r="BU413" s="1172">
        <f t="shared" si="95"/>
        <v>107724569.13</v>
      </c>
      <c r="BV413" s="1172">
        <f t="shared" si="95"/>
        <v>75588501.269999996</v>
      </c>
      <c r="BW413" s="1172">
        <f t="shared" si="95"/>
        <v>0</v>
      </c>
      <c r="BX413" s="1172">
        <f t="shared" si="95"/>
        <v>74805541.810000002</v>
      </c>
      <c r="BY413" s="1172">
        <f t="shared" si="95"/>
        <v>219170595.21000001</v>
      </c>
      <c r="BZ413" s="1172">
        <f t="shared" si="95"/>
        <v>8834040.0299999993</v>
      </c>
      <c r="CA413" s="1172">
        <f t="shared" si="95"/>
        <v>0</v>
      </c>
      <c r="CB413" s="1172">
        <f t="shared" si="95"/>
        <v>309884793.38</v>
      </c>
      <c r="CC413" s="1172">
        <f t="shared" si="95"/>
        <v>3850436260.4699998</v>
      </c>
      <c r="CD413" s="1172">
        <f t="shared" si="95"/>
        <v>3337474612.27</v>
      </c>
      <c r="CE413" s="1172">
        <f t="shared" si="95"/>
        <v>51198193.259999998</v>
      </c>
      <c r="CF413" s="1172">
        <f t="shared" si="95"/>
        <v>183396831.47999999</v>
      </c>
      <c r="CG413" s="1172">
        <f t="shared" si="95"/>
        <v>31790455.710000001</v>
      </c>
      <c r="CH413" s="1172">
        <f t="shared" si="95"/>
        <v>95199724.769999996</v>
      </c>
      <c r="CI413" s="1172">
        <f t="shared" si="95"/>
        <v>11204231049.42</v>
      </c>
      <c r="CJ413" s="1172">
        <f t="shared" si="95"/>
        <v>444354866.69999999</v>
      </c>
      <c r="CK413" s="1172">
        <f t="shared" si="95"/>
        <v>46842934.960000001</v>
      </c>
      <c r="CL413" s="1172">
        <f t="shared" si="95"/>
        <v>61017007.039999999</v>
      </c>
      <c r="CM413" s="1172">
        <f t="shared" si="95"/>
        <v>30497500.199999999</v>
      </c>
      <c r="CN413" s="1172">
        <f t="shared" si="95"/>
        <v>341977733.12</v>
      </c>
      <c r="CO413" s="1172">
        <f t="shared" si="95"/>
        <v>158215208.62</v>
      </c>
      <c r="CP413" s="1172">
        <f t="shared" si="95"/>
        <v>110746906.68000001</v>
      </c>
      <c r="CQ413" s="1172">
        <f t="shared" si="95"/>
        <v>46295812.93</v>
      </c>
      <c r="CR413" s="1172">
        <f t="shared" si="95"/>
        <v>294196557.08999997</v>
      </c>
    </row>
  </sheetData>
  <sheetProtection algorithmName="SHA-512" hashValue="S0gOYLuexACjCV2aIJFRQu3EFWCoZ3r73ikhvHmpDKSsOzjobk5o9kwhS44RW/e2hBfsrTSoBk62yYE4NZLyPQ==" saltValue="Y7fobAAlNM/f8gda/95IlQ=="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CQ305"/>
  <sheetViews>
    <sheetView topLeftCell="A268" zoomScale="120" zoomScaleNormal="120" workbookViewId="0">
      <pane xSplit="4" topLeftCell="BY1" activePane="topRight" state="frozen"/>
      <selection pane="topRight" activeCell="CH67" sqref="CH67"/>
    </sheetView>
  </sheetViews>
  <sheetFormatPr defaultColWidth="9.109375" defaultRowHeight="14.4" x14ac:dyDescent="0.3"/>
  <cols>
    <col min="1" max="1" width="9.109375" style="298"/>
    <col min="2" max="2" width="11.6640625" style="298" customWidth="1"/>
    <col min="3" max="3" width="32.5546875" style="298" customWidth="1"/>
    <col min="4" max="4" width="24.6640625" style="298" customWidth="1"/>
    <col min="5" max="6" width="16.88671875" style="298" bestFit="1" customWidth="1"/>
    <col min="7" max="7" width="15.6640625" style="298" bestFit="1" customWidth="1"/>
    <col min="8" max="8" width="16.88671875" style="298" bestFit="1" customWidth="1"/>
    <col min="9" max="9" width="14.5546875" style="298" bestFit="1" customWidth="1"/>
    <col min="10" max="10" width="15.6640625" style="298" bestFit="1" customWidth="1"/>
    <col min="11" max="11" width="16.88671875" style="298" bestFit="1" customWidth="1"/>
    <col min="12" max="12" width="15.6640625" style="298" bestFit="1" customWidth="1"/>
    <col min="13" max="13" width="18.6640625" style="298" bestFit="1" customWidth="1"/>
    <col min="14" max="14" width="12.6640625" style="298" bestFit="1" customWidth="1"/>
    <col min="15" max="15" width="16.88671875" style="298" bestFit="1" customWidth="1"/>
    <col min="16" max="16" width="15.6640625" style="298" bestFit="1" customWidth="1"/>
    <col min="17" max="17" width="16.88671875" style="298" bestFit="1" customWidth="1"/>
    <col min="18" max="18" width="18.6640625" style="298" bestFit="1" customWidth="1"/>
    <col min="19" max="19" width="20.44140625" style="298" customWidth="1"/>
    <col min="20" max="20" width="15.6640625" style="298" bestFit="1" customWidth="1"/>
    <col min="21" max="21" width="16.88671875" style="298" bestFit="1" customWidth="1"/>
    <col min="22" max="22" width="15.5546875" style="298" customWidth="1"/>
    <col min="23" max="23" width="15.6640625" style="298" bestFit="1" customWidth="1"/>
    <col min="24" max="24" width="14.5546875" style="298" bestFit="1" customWidth="1"/>
    <col min="25" max="25" width="16.88671875" style="298" bestFit="1" customWidth="1"/>
    <col min="26" max="28" width="15.6640625" style="298" bestFit="1" customWidth="1"/>
    <col min="29" max="29" width="16.88671875" style="298" bestFit="1" customWidth="1"/>
    <col min="30" max="31" width="15.6640625" style="298" bestFit="1" customWidth="1"/>
    <col min="32" max="33" width="14.5546875" style="298" bestFit="1" customWidth="1"/>
    <col min="34" max="35" width="16.88671875" style="298" bestFit="1" customWidth="1"/>
    <col min="36" max="36" width="15.6640625" style="298" bestFit="1" customWidth="1"/>
    <col min="37" max="37" width="16.88671875" style="298" bestFit="1" customWidth="1"/>
    <col min="38" max="38" width="17.44140625" style="298" customWidth="1"/>
    <col min="39" max="39" width="14.5546875" style="298" bestFit="1" customWidth="1"/>
    <col min="40" max="40" width="16.88671875" style="298" bestFit="1" customWidth="1"/>
    <col min="41" max="41" width="15.6640625" style="298" bestFit="1" customWidth="1"/>
    <col min="42" max="42" width="16.88671875" style="298" bestFit="1" customWidth="1"/>
    <col min="43" max="43" width="14.5546875" style="298" bestFit="1" customWidth="1"/>
    <col min="44" max="44" width="17.6640625" style="298" customWidth="1"/>
    <col min="45" max="47" width="15.6640625" style="298" bestFit="1" customWidth="1"/>
    <col min="48" max="48" width="16.5546875" style="298" customWidth="1"/>
    <col min="49" max="49" width="16.88671875" style="298" bestFit="1" customWidth="1"/>
    <col min="50" max="50" width="15.6640625" style="298" bestFit="1" customWidth="1"/>
    <col min="51" max="51" width="16.88671875" style="298" bestFit="1" customWidth="1"/>
    <col min="52" max="53" width="14.5546875" style="298" bestFit="1" customWidth="1"/>
    <col min="54" max="55" width="15.6640625" style="298" bestFit="1" customWidth="1"/>
    <col min="56" max="56" width="14.5546875" style="298" bestFit="1" customWidth="1"/>
    <col min="57" max="57" width="15.6640625" style="298" bestFit="1" customWidth="1"/>
    <col min="58" max="58" width="16.88671875" style="298" bestFit="1" customWidth="1"/>
    <col min="59" max="60" width="15.6640625" style="298" bestFit="1" customWidth="1"/>
    <col min="61" max="61" width="16.88671875" style="298" bestFit="1" customWidth="1"/>
    <col min="62" max="63" width="15.6640625" style="298" bestFit="1" customWidth="1"/>
    <col min="64" max="64" width="14.5546875" style="298" bestFit="1" customWidth="1"/>
    <col min="65" max="67" width="15.6640625" style="298" bestFit="1" customWidth="1"/>
    <col min="68" max="68" width="16.88671875" style="298" bestFit="1" customWidth="1"/>
    <col min="69" max="69" width="18.6640625" style="298" bestFit="1" customWidth="1"/>
    <col min="70" max="71" width="16.88671875" style="298" bestFit="1" customWidth="1"/>
    <col min="72" max="16384" width="9.109375" style="298"/>
  </cols>
  <sheetData>
    <row r="1" spans="1:95" x14ac:dyDescent="0.3">
      <c r="A1" s="270" t="s">
        <v>1764</v>
      </c>
      <c r="B1" s="270" t="s">
        <v>1765</v>
      </c>
      <c r="C1" s="270"/>
      <c r="D1" s="270" t="s">
        <v>1765</v>
      </c>
      <c r="E1" s="270" t="s">
        <v>1693</v>
      </c>
      <c r="F1" s="270" t="s">
        <v>1694</v>
      </c>
      <c r="G1" s="270" t="s">
        <v>1695</v>
      </c>
      <c r="H1" s="270" t="s">
        <v>1619</v>
      </c>
      <c r="I1" s="270" t="s">
        <v>1696</v>
      </c>
      <c r="J1" s="270" t="s">
        <v>1697</v>
      </c>
      <c r="K1" s="270" t="s">
        <v>1698</v>
      </c>
      <c r="L1" s="270" t="s">
        <v>1699</v>
      </c>
      <c r="M1" s="270" t="s">
        <v>1700</v>
      </c>
      <c r="N1" s="270" t="s">
        <v>1701</v>
      </c>
      <c r="O1" s="270" t="s">
        <v>1702</v>
      </c>
      <c r="P1" s="270" t="s">
        <v>1620</v>
      </c>
      <c r="Q1" s="270" t="s">
        <v>1703</v>
      </c>
      <c r="R1" s="270" t="s">
        <v>1704</v>
      </c>
      <c r="S1" s="270" t="s">
        <v>1705</v>
      </c>
      <c r="T1" s="270" t="s">
        <v>1706</v>
      </c>
      <c r="U1" s="270" t="s">
        <v>1707</v>
      </c>
      <c r="V1" s="270" t="s">
        <v>1708</v>
      </c>
      <c r="W1" s="270" t="s">
        <v>1709</v>
      </c>
      <c r="X1" s="270" t="s">
        <v>1710</v>
      </c>
      <c r="Y1" s="270" t="s">
        <v>1621</v>
      </c>
      <c r="Z1" s="270" t="s">
        <v>1711</v>
      </c>
      <c r="AA1" s="270" t="s">
        <v>1712</v>
      </c>
      <c r="AB1" s="270" t="s">
        <v>1003</v>
      </c>
      <c r="AC1" s="270" t="s">
        <v>1004</v>
      </c>
      <c r="AD1" s="270" t="s">
        <v>1622</v>
      </c>
      <c r="AE1" s="270" t="s">
        <v>1713</v>
      </c>
      <c r="AF1" s="270" t="s">
        <v>1714</v>
      </c>
      <c r="AG1" s="270" t="s">
        <v>1715</v>
      </c>
      <c r="AH1" s="270" t="s">
        <v>1716</v>
      </c>
      <c r="AI1" s="270" t="s">
        <v>1717</v>
      </c>
      <c r="AJ1" s="270" t="s">
        <v>1718</v>
      </c>
      <c r="AK1" s="270" t="s">
        <v>1719</v>
      </c>
      <c r="AL1" s="270" t="s">
        <v>1720</v>
      </c>
      <c r="AM1" s="270" t="s">
        <v>1005</v>
      </c>
      <c r="AN1" s="270" t="s">
        <v>1721</v>
      </c>
      <c r="AO1" s="270" t="s">
        <v>1722</v>
      </c>
      <c r="AP1" s="270" t="s">
        <v>1723</v>
      </c>
      <c r="AQ1" s="270" t="s">
        <v>1007</v>
      </c>
      <c r="AR1" s="270" t="s">
        <v>1724</v>
      </c>
      <c r="AS1" s="270" t="s">
        <v>1725</v>
      </c>
      <c r="AT1" s="270" t="s">
        <v>1008</v>
      </c>
      <c r="AU1" s="270" t="s">
        <v>1623</v>
      </c>
      <c r="AV1" s="270" t="s">
        <v>1726</v>
      </c>
      <c r="AW1" s="270" t="s">
        <v>1727</v>
      </c>
      <c r="AX1" s="270" t="s">
        <v>1728</v>
      </c>
      <c r="AY1" s="270" t="s">
        <v>772</v>
      </c>
      <c r="AZ1" s="270" t="s">
        <v>1729</v>
      </c>
      <c r="BA1" s="270" t="s">
        <v>1730</v>
      </c>
      <c r="BB1" s="270" t="s">
        <v>1731</v>
      </c>
      <c r="BC1" s="270" t="s">
        <v>1732</v>
      </c>
      <c r="BD1" s="270" t="s">
        <v>1624</v>
      </c>
      <c r="BE1" s="270" t="s">
        <v>1733</v>
      </c>
      <c r="BF1" s="270" t="s">
        <v>1625</v>
      </c>
      <c r="BG1" s="270" t="s">
        <v>1734</v>
      </c>
      <c r="BH1" s="270" t="s">
        <v>1735</v>
      </c>
      <c r="BI1" s="270" t="s">
        <v>1736</v>
      </c>
      <c r="BJ1" s="270" t="s">
        <v>1737</v>
      </c>
      <c r="BK1" s="270" t="s">
        <v>1738</v>
      </c>
      <c r="BL1" s="270" t="s">
        <v>1739</v>
      </c>
      <c r="BM1" s="270" t="s">
        <v>1740</v>
      </c>
      <c r="BN1" s="270" t="s">
        <v>1741</v>
      </c>
      <c r="BO1" s="270" t="s">
        <v>1742</v>
      </c>
      <c r="BP1" s="270" t="s">
        <v>1743</v>
      </c>
      <c r="BQ1" s="270" t="s">
        <v>1744</v>
      </c>
      <c r="BR1" s="270" t="s">
        <v>1745</v>
      </c>
      <c r="BS1" s="270" t="s">
        <v>1746</v>
      </c>
      <c r="BT1" s="298" t="s">
        <v>1747</v>
      </c>
      <c r="BU1" s="298" t="s">
        <v>1748</v>
      </c>
      <c r="BV1" s="298" t="s">
        <v>1009</v>
      </c>
      <c r="BW1" s="298" t="s">
        <v>1626</v>
      </c>
      <c r="BX1" s="298" t="s">
        <v>1749</v>
      </c>
      <c r="BY1" s="298" t="s">
        <v>1750</v>
      </c>
      <c r="BZ1" s="298" t="s">
        <v>1766</v>
      </c>
      <c r="CA1" s="298" t="s">
        <v>1751</v>
      </c>
      <c r="CB1" s="298" t="s">
        <v>773</v>
      </c>
      <c r="CC1" s="298" t="s">
        <v>1752</v>
      </c>
      <c r="CD1" s="298" t="s">
        <v>1753</v>
      </c>
      <c r="CE1" s="298" t="s">
        <v>1754</v>
      </c>
      <c r="CF1" s="298" t="s">
        <v>1755</v>
      </c>
      <c r="CG1" s="298" t="s">
        <v>1756</v>
      </c>
      <c r="CH1" s="298" t="s">
        <v>774</v>
      </c>
      <c r="CI1" s="298" t="s">
        <v>1757</v>
      </c>
      <c r="CJ1" s="298" t="s">
        <v>1627</v>
      </c>
      <c r="CK1" s="298" t="s">
        <v>1758</v>
      </c>
      <c r="CL1" s="298" t="s">
        <v>1759</v>
      </c>
      <c r="CM1" s="298" t="s">
        <v>1760</v>
      </c>
      <c r="CN1" s="298" t="s">
        <v>1761</v>
      </c>
      <c r="CO1" s="298" t="s">
        <v>1628</v>
      </c>
      <c r="CP1" s="298" t="s">
        <v>1762</v>
      </c>
      <c r="CQ1" s="298" t="s">
        <v>1763</v>
      </c>
    </row>
    <row r="2" spans="1:95" x14ac:dyDescent="0.3">
      <c r="A2" s="270"/>
      <c r="B2" s="270"/>
      <c r="C2" s="270"/>
      <c r="D2" s="270" t="s">
        <v>296</v>
      </c>
      <c r="E2" s="270">
        <v>50372</v>
      </c>
      <c r="F2" s="270">
        <v>50457</v>
      </c>
      <c r="G2" s="270">
        <v>50373</v>
      </c>
      <c r="H2" s="270">
        <v>50374</v>
      </c>
      <c r="I2" s="270">
        <v>50375</v>
      </c>
      <c r="J2" s="270">
        <v>50376</v>
      </c>
      <c r="K2" s="270">
        <v>50377</v>
      </c>
      <c r="L2" s="270">
        <v>50378</v>
      </c>
      <c r="M2" s="270">
        <v>50379</v>
      </c>
      <c r="N2" s="270">
        <v>50530</v>
      </c>
      <c r="O2" s="270">
        <v>50380</v>
      </c>
      <c r="P2" s="270">
        <v>50483</v>
      </c>
      <c r="Q2" s="270">
        <v>50381</v>
      </c>
      <c r="R2" s="270">
        <v>50501</v>
      </c>
      <c r="S2" s="270">
        <v>50494</v>
      </c>
      <c r="T2" s="270">
        <v>50382</v>
      </c>
      <c r="U2" s="270">
        <v>50383</v>
      </c>
      <c r="V2" s="270">
        <v>50384</v>
      </c>
      <c r="W2" s="270">
        <v>50557</v>
      </c>
      <c r="X2" s="270">
        <v>50385</v>
      </c>
      <c r="Y2" s="270">
        <v>50386</v>
      </c>
      <c r="Z2" s="270">
        <v>50388</v>
      </c>
      <c r="AA2" s="270">
        <v>50387</v>
      </c>
      <c r="AB2" s="270">
        <v>50389</v>
      </c>
      <c r="AC2" s="270">
        <v>50500</v>
      </c>
      <c r="AD2" s="270">
        <v>50390</v>
      </c>
      <c r="AE2" s="270">
        <v>50391</v>
      </c>
      <c r="AF2" s="270">
        <v>50531</v>
      </c>
      <c r="AG2" s="270">
        <v>50392</v>
      </c>
      <c r="AH2" s="270">
        <v>50458</v>
      </c>
      <c r="AI2" s="270">
        <v>50393</v>
      </c>
      <c r="AJ2" s="270">
        <v>50544</v>
      </c>
      <c r="AK2" s="270">
        <v>50394</v>
      </c>
      <c r="AL2" s="270">
        <v>50395</v>
      </c>
      <c r="AM2" s="270">
        <v>50396</v>
      </c>
      <c r="AN2" s="270">
        <v>50397</v>
      </c>
      <c r="AO2" s="270">
        <v>50550</v>
      </c>
      <c r="AP2" s="270">
        <v>50398</v>
      </c>
      <c r="AQ2" s="270">
        <v>50399</v>
      </c>
      <c r="AR2" s="270">
        <v>50400</v>
      </c>
      <c r="AS2" s="270">
        <v>50532</v>
      </c>
      <c r="AT2" s="270">
        <v>50401</v>
      </c>
      <c r="AU2" s="270">
        <v>50402</v>
      </c>
      <c r="AV2" s="270">
        <v>50485</v>
      </c>
      <c r="AW2" s="270">
        <v>50403</v>
      </c>
      <c r="AX2" s="270">
        <v>50404</v>
      </c>
      <c r="AY2" s="270">
        <v>50405</v>
      </c>
      <c r="AZ2" s="270">
        <v>50533</v>
      </c>
      <c r="BA2" s="270">
        <v>50406</v>
      </c>
      <c r="BB2" s="270">
        <v>50565</v>
      </c>
      <c r="BC2" s="270">
        <v>50407</v>
      </c>
      <c r="BD2" s="270">
        <v>50486</v>
      </c>
      <c r="BE2" s="270">
        <v>50408</v>
      </c>
      <c r="BF2" s="270">
        <v>50409</v>
      </c>
      <c r="BG2" s="270">
        <v>50410</v>
      </c>
      <c r="BH2" s="270">
        <v>50411</v>
      </c>
      <c r="BI2" s="270">
        <v>50412</v>
      </c>
      <c r="BJ2" s="270">
        <v>50488</v>
      </c>
      <c r="BK2" s="270">
        <v>50413</v>
      </c>
      <c r="BL2" s="270">
        <v>50414</v>
      </c>
      <c r="BM2" s="270">
        <v>50415</v>
      </c>
      <c r="BN2" s="270">
        <v>50416</v>
      </c>
      <c r="BO2" s="270">
        <v>50534</v>
      </c>
      <c r="BP2" s="270">
        <v>50417</v>
      </c>
      <c r="BQ2" s="270">
        <v>50418</v>
      </c>
      <c r="BR2" s="270">
        <v>50546</v>
      </c>
      <c r="BS2" s="270">
        <v>50552</v>
      </c>
      <c r="BT2" s="298">
        <v>50419</v>
      </c>
      <c r="BU2" s="298">
        <v>50441</v>
      </c>
      <c r="BV2" s="298">
        <v>50420</v>
      </c>
      <c r="BW2" s="298">
        <v>50421</v>
      </c>
      <c r="BX2" s="298">
        <v>50422</v>
      </c>
      <c r="BY2" s="298">
        <v>50535</v>
      </c>
      <c r="BZ2" s="298">
        <v>50423</v>
      </c>
      <c r="CA2" s="298">
        <v>50424</v>
      </c>
      <c r="CB2" s="298">
        <v>50425</v>
      </c>
      <c r="CC2" s="298">
        <v>50426</v>
      </c>
      <c r="CD2" s="298">
        <v>50537</v>
      </c>
      <c r="CE2" s="298">
        <v>50427</v>
      </c>
      <c r="CF2" s="298">
        <v>50428</v>
      </c>
      <c r="CG2" s="298">
        <v>50429</v>
      </c>
      <c r="CH2" s="298">
        <v>50431</v>
      </c>
      <c r="CI2" s="298">
        <v>50430</v>
      </c>
      <c r="CJ2" s="298">
        <v>50432</v>
      </c>
      <c r="CK2" s="298">
        <v>50453</v>
      </c>
      <c r="CL2" s="298">
        <v>50433</v>
      </c>
      <c r="CM2" s="298">
        <v>50435</v>
      </c>
      <c r="CN2" s="298">
        <v>50436</v>
      </c>
      <c r="CO2" s="298">
        <v>50499</v>
      </c>
      <c r="CP2" s="298">
        <v>50438</v>
      </c>
      <c r="CQ2" s="298">
        <v>50439</v>
      </c>
    </row>
    <row r="3" spans="1:95" x14ac:dyDescent="0.3">
      <c r="A3" s="270">
        <v>4</v>
      </c>
      <c r="B3" s="270">
        <v>4</v>
      </c>
      <c r="C3" s="270" t="s">
        <v>617</v>
      </c>
      <c r="D3" s="270" t="s">
        <v>297</v>
      </c>
      <c r="E3" s="1112">
        <v>3585</v>
      </c>
      <c r="F3" s="1112">
        <v>446394</v>
      </c>
      <c r="G3" s="1112">
        <v>19811</v>
      </c>
      <c r="H3" s="1112">
        <v>236102</v>
      </c>
      <c r="I3" s="1112">
        <v>91458</v>
      </c>
      <c r="J3" s="1112">
        <v>11146</v>
      </c>
      <c r="K3" s="1112">
        <v>1529346</v>
      </c>
      <c r="L3" s="1112">
        <v>11281</v>
      </c>
      <c r="M3" s="1112">
        <v>9226</v>
      </c>
      <c r="N3" s="270">
        <v>78198</v>
      </c>
      <c r="O3" s="1112">
        <v>49752</v>
      </c>
      <c r="P3" s="1112">
        <v>706</v>
      </c>
      <c r="Q3" s="1112">
        <v>1092</v>
      </c>
      <c r="R3" s="1112">
        <v>54659</v>
      </c>
      <c r="S3" s="270">
        <v>123337</v>
      </c>
      <c r="T3" s="1112">
        <v>64448</v>
      </c>
      <c r="U3" s="1112">
        <v>2085864</v>
      </c>
      <c r="V3" s="1112">
        <v>612063</v>
      </c>
      <c r="W3" s="1112">
        <v>7675</v>
      </c>
      <c r="X3" s="1112">
        <v>39340</v>
      </c>
      <c r="Y3" s="1112">
        <v>0</v>
      </c>
      <c r="Z3" s="1112">
        <v>309</v>
      </c>
      <c r="AA3" s="1112">
        <v>301608</v>
      </c>
      <c r="AB3" s="1112">
        <v>65047</v>
      </c>
      <c r="AC3" s="1112">
        <v>24387</v>
      </c>
      <c r="AD3" s="1112">
        <v>11853</v>
      </c>
      <c r="AE3" s="1112">
        <v>711260</v>
      </c>
      <c r="AF3" s="1112">
        <v>25289</v>
      </c>
      <c r="AG3" s="270">
        <v>75986</v>
      </c>
      <c r="AH3" s="1112">
        <v>12526</v>
      </c>
      <c r="AI3" s="1112">
        <v>4047</v>
      </c>
      <c r="AJ3" s="1112">
        <v>559010</v>
      </c>
      <c r="AK3" s="1112">
        <v>71035</v>
      </c>
      <c r="AL3" s="270">
        <v>252777</v>
      </c>
      <c r="AM3" s="270">
        <v>0</v>
      </c>
      <c r="AN3" s="1112">
        <v>2721</v>
      </c>
      <c r="AO3" s="1112">
        <v>16669</v>
      </c>
      <c r="AP3" s="1112">
        <v>102457</v>
      </c>
      <c r="AQ3" s="1112">
        <v>26271</v>
      </c>
      <c r="AR3" s="1112">
        <v>966</v>
      </c>
      <c r="AS3" s="1112">
        <v>73085</v>
      </c>
      <c r="AT3" s="1112">
        <v>24739</v>
      </c>
      <c r="AU3" s="1112">
        <v>2401</v>
      </c>
      <c r="AV3" s="270">
        <v>3667</v>
      </c>
      <c r="AW3" s="1112">
        <v>107795</v>
      </c>
      <c r="AX3" s="1112">
        <v>0</v>
      </c>
      <c r="AY3" s="1112">
        <v>3023513</v>
      </c>
      <c r="AZ3" s="270">
        <v>138467</v>
      </c>
      <c r="BA3" s="1112">
        <v>74402</v>
      </c>
      <c r="BB3" s="1112">
        <v>937</v>
      </c>
      <c r="BC3" s="1112">
        <v>58034</v>
      </c>
      <c r="BD3" s="1112">
        <v>49818</v>
      </c>
      <c r="BE3" s="1112">
        <v>21393</v>
      </c>
      <c r="BF3" s="1112">
        <v>10646</v>
      </c>
      <c r="BG3" s="1112">
        <v>50238</v>
      </c>
      <c r="BH3" s="1112">
        <v>533739</v>
      </c>
      <c r="BI3" s="1112">
        <v>5592</v>
      </c>
      <c r="BJ3" s="1112">
        <v>0</v>
      </c>
      <c r="BK3" s="1112">
        <v>560749</v>
      </c>
      <c r="BL3" s="1112">
        <v>337709</v>
      </c>
      <c r="BM3" s="1112">
        <v>681703</v>
      </c>
      <c r="BN3" s="1112">
        <v>3657</v>
      </c>
      <c r="BO3" s="1112">
        <v>89112</v>
      </c>
      <c r="BP3" s="1112">
        <v>33319</v>
      </c>
      <c r="BQ3" s="1112">
        <v>2528014</v>
      </c>
      <c r="BR3" s="1112">
        <v>39595</v>
      </c>
      <c r="BS3" s="1112">
        <v>47748</v>
      </c>
      <c r="BT3" s="298">
        <v>53956</v>
      </c>
      <c r="BU3" s="298">
        <v>67996</v>
      </c>
      <c r="BV3" s="298">
        <v>38391</v>
      </c>
      <c r="BW3" s="298">
        <v>85042</v>
      </c>
      <c r="BX3" s="298">
        <v>261846</v>
      </c>
      <c r="BY3" s="298">
        <v>7260</v>
      </c>
      <c r="BZ3" s="298">
        <v>0</v>
      </c>
      <c r="CA3" s="298">
        <v>381738</v>
      </c>
      <c r="CB3" s="298">
        <v>11484712</v>
      </c>
      <c r="CC3" s="298">
        <v>4156464</v>
      </c>
      <c r="CD3" s="298">
        <v>9672</v>
      </c>
      <c r="CE3" s="298">
        <v>40791</v>
      </c>
      <c r="CF3" s="298">
        <v>4491</v>
      </c>
      <c r="CG3" s="298">
        <v>90480</v>
      </c>
      <c r="CH3" s="298">
        <v>9091105</v>
      </c>
      <c r="CI3" s="298">
        <v>989000</v>
      </c>
      <c r="CJ3" s="298">
        <v>54025</v>
      </c>
      <c r="CK3" s="298">
        <v>153851</v>
      </c>
      <c r="CL3" s="298">
        <v>11543</v>
      </c>
      <c r="CM3" s="298">
        <v>411450</v>
      </c>
      <c r="CN3" s="298">
        <v>72403</v>
      </c>
      <c r="CO3" s="298">
        <v>16096</v>
      </c>
      <c r="CP3" s="298">
        <v>302226</v>
      </c>
      <c r="CQ3" s="298">
        <v>1059375</v>
      </c>
    </row>
    <row r="4" spans="1:95" x14ac:dyDescent="0.3">
      <c r="A4" s="270">
        <v>5</v>
      </c>
      <c r="B4" s="270">
        <v>5</v>
      </c>
      <c r="C4" s="270" t="s">
        <v>120</v>
      </c>
      <c r="D4" s="270" t="s">
        <v>298</v>
      </c>
      <c r="E4" s="270">
        <v>0</v>
      </c>
      <c r="F4" s="270">
        <v>323</v>
      </c>
      <c r="G4" s="270">
        <v>0</v>
      </c>
      <c r="H4" s="1112">
        <v>0</v>
      </c>
      <c r="I4" s="270">
        <v>20</v>
      </c>
      <c r="J4" s="1112">
        <v>0</v>
      </c>
      <c r="K4" s="270">
        <v>39538</v>
      </c>
      <c r="L4" s="270">
        <v>0</v>
      </c>
      <c r="M4" s="1112">
        <v>0</v>
      </c>
      <c r="N4" s="270">
        <v>0</v>
      </c>
      <c r="O4" s="1112">
        <v>0</v>
      </c>
      <c r="P4" s="270">
        <v>0</v>
      </c>
      <c r="Q4" s="1112">
        <v>0</v>
      </c>
      <c r="R4" s="1112">
        <v>1343</v>
      </c>
      <c r="S4" s="270">
        <v>0</v>
      </c>
      <c r="T4" s="270">
        <v>0</v>
      </c>
      <c r="U4" s="270">
        <v>0</v>
      </c>
      <c r="V4" s="270">
        <v>0</v>
      </c>
      <c r="W4" s="270">
        <v>0</v>
      </c>
      <c r="X4" s="270">
        <v>7326</v>
      </c>
      <c r="Y4" s="270">
        <v>0</v>
      </c>
      <c r="Z4" s="270">
        <v>0</v>
      </c>
      <c r="AA4" s="270">
        <v>12787</v>
      </c>
      <c r="AB4" s="270">
        <v>0</v>
      </c>
      <c r="AC4" s="270">
        <v>0</v>
      </c>
      <c r="AD4" s="270">
        <v>0</v>
      </c>
      <c r="AE4" s="270">
        <v>0</v>
      </c>
      <c r="AF4" s="270">
        <v>0</v>
      </c>
      <c r="AG4" s="270">
        <v>0</v>
      </c>
      <c r="AH4" s="1112">
        <v>0</v>
      </c>
      <c r="AI4" s="1112">
        <v>320000</v>
      </c>
      <c r="AJ4" s="270">
        <v>0</v>
      </c>
      <c r="AK4" s="270">
        <v>2117</v>
      </c>
      <c r="AL4" s="270">
        <v>14383</v>
      </c>
      <c r="AM4" s="270">
        <v>0</v>
      </c>
      <c r="AN4" s="270">
        <v>0</v>
      </c>
      <c r="AO4" s="270">
        <v>0</v>
      </c>
      <c r="AP4" s="270">
        <v>0</v>
      </c>
      <c r="AQ4" s="270">
        <v>0</v>
      </c>
      <c r="AR4" s="270">
        <v>0</v>
      </c>
      <c r="AS4" s="1112">
        <v>0</v>
      </c>
      <c r="AT4" s="270">
        <v>0</v>
      </c>
      <c r="AU4" s="270">
        <v>0</v>
      </c>
      <c r="AV4" s="270">
        <v>0</v>
      </c>
      <c r="AW4" s="270">
        <v>0</v>
      </c>
      <c r="AX4" s="270">
        <v>0</v>
      </c>
      <c r="AY4" s="1112">
        <v>50843</v>
      </c>
      <c r="AZ4" s="270">
        <v>0</v>
      </c>
      <c r="BA4" s="270">
        <v>0</v>
      </c>
      <c r="BB4" s="270">
        <v>0</v>
      </c>
      <c r="BC4" s="270">
        <v>0</v>
      </c>
      <c r="BD4" s="270">
        <v>0</v>
      </c>
      <c r="BE4" s="270">
        <v>0</v>
      </c>
      <c r="BF4" s="270">
        <v>0</v>
      </c>
      <c r="BG4" s="270">
        <v>0</v>
      </c>
      <c r="BH4" s="270">
        <v>0</v>
      </c>
      <c r="BI4" s="270">
        <v>0</v>
      </c>
      <c r="BJ4" s="270">
        <v>0</v>
      </c>
      <c r="BK4" s="1112">
        <v>0</v>
      </c>
      <c r="BL4" s="270">
        <v>250720</v>
      </c>
      <c r="BM4" s="270">
        <v>7777</v>
      </c>
      <c r="BN4" s="270">
        <v>0</v>
      </c>
      <c r="BO4" s="1112">
        <v>0</v>
      </c>
      <c r="BP4" s="270">
        <v>102904</v>
      </c>
      <c r="BQ4" s="270">
        <v>0</v>
      </c>
      <c r="BR4" s="270">
        <v>0</v>
      </c>
      <c r="BS4" s="270">
        <v>300</v>
      </c>
      <c r="BT4" s="298">
        <v>6767</v>
      </c>
      <c r="BU4" s="298">
        <v>0</v>
      </c>
      <c r="BV4" s="298">
        <v>0</v>
      </c>
      <c r="BW4" s="298">
        <v>1921</v>
      </c>
      <c r="BX4" s="298">
        <v>360</v>
      </c>
      <c r="BY4" s="298">
        <v>0</v>
      </c>
      <c r="BZ4" s="298">
        <v>0</v>
      </c>
      <c r="CA4" s="298">
        <v>5040</v>
      </c>
      <c r="CB4" s="298">
        <v>54684</v>
      </c>
      <c r="CC4" s="298">
        <v>0</v>
      </c>
      <c r="CD4" s="298">
        <v>10</v>
      </c>
      <c r="CE4" s="298">
        <v>0</v>
      </c>
      <c r="CF4" s="298">
        <v>0</v>
      </c>
      <c r="CG4" s="298">
        <v>0</v>
      </c>
      <c r="CH4" s="298">
        <v>0</v>
      </c>
      <c r="CI4" s="298">
        <v>0</v>
      </c>
      <c r="CJ4" s="298">
        <v>0</v>
      </c>
      <c r="CK4" s="298">
        <v>0</v>
      </c>
      <c r="CL4" s="298">
        <v>0</v>
      </c>
      <c r="CM4" s="298">
        <v>0</v>
      </c>
      <c r="CN4" s="298">
        <v>0</v>
      </c>
      <c r="CO4" s="298">
        <v>0</v>
      </c>
      <c r="CP4" s="298">
        <v>0</v>
      </c>
      <c r="CQ4" s="298">
        <v>157560</v>
      </c>
    </row>
    <row r="5" spans="1:95" x14ac:dyDescent="0.3">
      <c r="A5" s="270">
        <v>6</v>
      </c>
      <c r="B5" s="270">
        <v>6</v>
      </c>
      <c r="C5" s="270" t="s">
        <v>264</v>
      </c>
      <c r="D5" s="270" t="s">
        <v>299</v>
      </c>
      <c r="E5" s="270">
        <v>0</v>
      </c>
      <c r="F5" s="270">
        <v>139187</v>
      </c>
      <c r="G5" s="270">
        <v>0</v>
      </c>
      <c r="H5" s="270">
        <v>0</v>
      </c>
      <c r="I5" s="270">
        <v>0</v>
      </c>
      <c r="J5" s="270">
        <v>0</v>
      </c>
      <c r="K5" s="270">
        <v>0</v>
      </c>
      <c r="L5" s="270">
        <v>0</v>
      </c>
      <c r="M5" s="1112">
        <v>0</v>
      </c>
      <c r="N5" s="270">
        <v>0</v>
      </c>
      <c r="O5" s="1112">
        <v>0</v>
      </c>
      <c r="P5" s="270">
        <v>0</v>
      </c>
      <c r="Q5" s="270">
        <v>0</v>
      </c>
      <c r="R5" s="1112">
        <v>0</v>
      </c>
      <c r="S5" s="270">
        <v>0</v>
      </c>
      <c r="T5" s="270">
        <v>0</v>
      </c>
      <c r="U5" s="270">
        <v>0</v>
      </c>
      <c r="V5" s="270">
        <v>0</v>
      </c>
      <c r="W5" s="270">
        <v>0</v>
      </c>
      <c r="X5" s="270">
        <v>0</v>
      </c>
      <c r="Y5" s="1112">
        <v>0</v>
      </c>
      <c r="Z5" s="270">
        <v>0</v>
      </c>
      <c r="AA5" s="270">
        <v>0</v>
      </c>
      <c r="AB5" s="270">
        <v>0</v>
      </c>
      <c r="AC5" s="1112">
        <v>0</v>
      </c>
      <c r="AD5" s="270">
        <v>0</v>
      </c>
      <c r="AE5" s="270">
        <v>1468933</v>
      </c>
      <c r="AF5" s="270">
        <v>0</v>
      </c>
      <c r="AG5" s="270">
        <v>0</v>
      </c>
      <c r="AH5" s="270">
        <v>0</v>
      </c>
      <c r="AI5" s="270">
        <v>0</v>
      </c>
      <c r="AJ5" s="270">
        <v>0</v>
      </c>
      <c r="AK5" s="270">
        <v>0</v>
      </c>
      <c r="AL5" s="270">
        <v>0</v>
      </c>
      <c r="AM5" s="270">
        <v>0</v>
      </c>
      <c r="AN5" s="270">
        <v>0</v>
      </c>
      <c r="AO5" s="270">
        <v>0</v>
      </c>
      <c r="AP5" s="270">
        <v>90932</v>
      </c>
      <c r="AQ5" s="270">
        <v>0</v>
      </c>
      <c r="AR5" s="270">
        <v>0</v>
      </c>
      <c r="AS5" s="270">
        <v>0</v>
      </c>
      <c r="AT5" s="1112">
        <v>0</v>
      </c>
      <c r="AU5" s="270">
        <v>0</v>
      </c>
      <c r="AV5" s="270">
        <v>0</v>
      </c>
      <c r="AW5" s="270">
        <v>0</v>
      </c>
      <c r="AX5" s="270">
        <v>0</v>
      </c>
      <c r="AY5" s="270">
        <v>229429</v>
      </c>
      <c r="AZ5" s="270">
        <v>0</v>
      </c>
      <c r="BA5" s="270">
        <v>0</v>
      </c>
      <c r="BB5" s="270">
        <v>0</v>
      </c>
      <c r="BC5" s="270">
        <v>0</v>
      </c>
      <c r="BD5" s="270">
        <v>0</v>
      </c>
      <c r="BE5" s="270">
        <v>0</v>
      </c>
      <c r="BF5" s="270">
        <v>0</v>
      </c>
      <c r="BG5" s="270">
        <v>0</v>
      </c>
      <c r="BH5" s="270">
        <v>330123</v>
      </c>
      <c r="BI5" s="270">
        <v>0</v>
      </c>
      <c r="BJ5" s="270">
        <v>0</v>
      </c>
      <c r="BK5" s="270">
        <v>0</v>
      </c>
      <c r="BL5" s="270">
        <v>7298</v>
      </c>
      <c r="BM5" s="270">
        <v>0</v>
      </c>
      <c r="BN5" s="270">
        <v>0</v>
      </c>
      <c r="BO5" s="270">
        <v>121300</v>
      </c>
      <c r="BP5" s="270">
        <v>0</v>
      </c>
      <c r="BQ5" s="270">
        <v>0</v>
      </c>
      <c r="BR5" s="270">
        <v>0</v>
      </c>
      <c r="BS5" s="270">
        <v>0</v>
      </c>
      <c r="BT5" s="298">
        <v>0</v>
      </c>
      <c r="BU5" s="298">
        <v>0</v>
      </c>
      <c r="BV5" s="298">
        <v>0</v>
      </c>
      <c r="BW5" s="298">
        <v>0</v>
      </c>
      <c r="BX5" s="298">
        <v>0</v>
      </c>
      <c r="BY5" s="298">
        <v>0</v>
      </c>
      <c r="BZ5" s="298">
        <v>0</v>
      </c>
      <c r="CA5" s="298">
        <v>0</v>
      </c>
      <c r="CB5" s="298">
        <v>1055857</v>
      </c>
      <c r="CC5" s="298">
        <v>771258</v>
      </c>
      <c r="CD5" s="298">
        <v>0</v>
      </c>
      <c r="CE5" s="298">
        <v>0</v>
      </c>
      <c r="CF5" s="298">
        <v>0</v>
      </c>
      <c r="CG5" s="298">
        <v>0</v>
      </c>
      <c r="CH5" s="298">
        <v>2987362</v>
      </c>
      <c r="CI5" s="298">
        <v>2055128</v>
      </c>
      <c r="CJ5" s="298">
        <v>0</v>
      </c>
      <c r="CK5" s="298">
        <v>0</v>
      </c>
      <c r="CL5" s="298">
        <v>0</v>
      </c>
      <c r="CM5" s="298">
        <v>0</v>
      </c>
      <c r="CN5" s="298">
        <v>0</v>
      </c>
      <c r="CO5" s="298">
        <v>0</v>
      </c>
      <c r="CP5" s="298">
        <v>0</v>
      </c>
      <c r="CQ5" s="298">
        <v>0</v>
      </c>
    </row>
    <row r="6" spans="1:95" x14ac:dyDescent="0.3">
      <c r="A6" s="270">
        <v>7</v>
      </c>
      <c r="B6" s="270">
        <v>7</v>
      </c>
      <c r="C6" s="270" t="s">
        <v>202</v>
      </c>
      <c r="D6" s="270" t="s">
        <v>300</v>
      </c>
      <c r="E6" s="1112">
        <v>1941</v>
      </c>
      <c r="F6" s="270">
        <v>0</v>
      </c>
      <c r="G6" s="270">
        <v>0</v>
      </c>
      <c r="H6" s="1112">
        <v>0</v>
      </c>
      <c r="I6" s="270">
        <v>0</v>
      </c>
      <c r="J6" s="270">
        <v>0</v>
      </c>
      <c r="K6" s="270">
        <v>38236</v>
      </c>
      <c r="L6" s="270">
        <v>0</v>
      </c>
      <c r="M6" s="1112">
        <v>2869</v>
      </c>
      <c r="N6" s="270">
        <v>0</v>
      </c>
      <c r="O6" s="1112">
        <v>31081</v>
      </c>
      <c r="P6" s="270">
        <v>0</v>
      </c>
      <c r="Q6" s="1112">
        <v>16064</v>
      </c>
      <c r="R6" s="1112">
        <v>0</v>
      </c>
      <c r="S6" s="270">
        <v>4025</v>
      </c>
      <c r="T6" s="270">
        <v>0</v>
      </c>
      <c r="U6" s="270">
        <v>0</v>
      </c>
      <c r="V6" s="270">
        <v>0</v>
      </c>
      <c r="W6" s="270">
        <v>10001</v>
      </c>
      <c r="X6" s="270">
        <v>0</v>
      </c>
      <c r="Y6" s="1112">
        <v>0</v>
      </c>
      <c r="Z6" s="270">
        <v>0</v>
      </c>
      <c r="AA6" s="270">
        <v>48211</v>
      </c>
      <c r="AB6" s="270">
        <v>0</v>
      </c>
      <c r="AC6" s="1112">
        <v>0</v>
      </c>
      <c r="AD6" s="270">
        <v>0</v>
      </c>
      <c r="AE6" s="270">
        <v>84547</v>
      </c>
      <c r="AF6" s="270">
        <v>0</v>
      </c>
      <c r="AG6" s="270">
        <v>0</v>
      </c>
      <c r="AH6" s="1112">
        <v>0</v>
      </c>
      <c r="AI6" s="1112">
        <v>0</v>
      </c>
      <c r="AJ6" s="270">
        <v>0</v>
      </c>
      <c r="AK6" s="1112">
        <v>-34791</v>
      </c>
      <c r="AL6" s="270">
        <v>16378</v>
      </c>
      <c r="AM6" s="270">
        <v>0</v>
      </c>
      <c r="AN6" s="270">
        <v>0</v>
      </c>
      <c r="AO6" s="270">
        <v>2000</v>
      </c>
      <c r="AP6" s="270">
        <v>113280</v>
      </c>
      <c r="AQ6" s="270">
        <v>1703</v>
      </c>
      <c r="AR6" s="270">
        <v>0</v>
      </c>
      <c r="AS6" s="270">
        <v>0</v>
      </c>
      <c r="AT6" s="1112">
        <v>0</v>
      </c>
      <c r="AU6" s="270">
        <v>0</v>
      </c>
      <c r="AV6" s="270">
        <v>0</v>
      </c>
      <c r="AW6" s="1112">
        <v>16902</v>
      </c>
      <c r="AX6" s="270">
        <v>0</v>
      </c>
      <c r="AY6" s="1112">
        <v>139947</v>
      </c>
      <c r="AZ6" s="270">
        <v>0</v>
      </c>
      <c r="BA6" s="270">
        <v>17872</v>
      </c>
      <c r="BB6" s="270">
        <v>0</v>
      </c>
      <c r="BC6" s="1112">
        <v>0</v>
      </c>
      <c r="BD6" s="270">
        <v>0</v>
      </c>
      <c r="BE6" s="270">
        <v>25950</v>
      </c>
      <c r="BF6" s="270">
        <v>0</v>
      </c>
      <c r="BG6" s="270">
        <v>0</v>
      </c>
      <c r="BH6" s="270">
        <v>89441</v>
      </c>
      <c r="BI6" s="1112">
        <v>5517</v>
      </c>
      <c r="BJ6" s="270">
        <v>0</v>
      </c>
      <c r="BK6" s="1112">
        <v>51699</v>
      </c>
      <c r="BL6" s="1112">
        <v>201339</v>
      </c>
      <c r="BM6" s="270">
        <v>22230</v>
      </c>
      <c r="BN6" s="270">
        <v>0</v>
      </c>
      <c r="BO6" s="270">
        <v>4423</v>
      </c>
      <c r="BP6" s="270">
        <v>0</v>
      </c>
      <c r="BQ6" s="270">
        <v>0</v>
      </c>
      <c r="BR6" s="270">
        <v>17998</v>
      </c>
      <c r="BS6" s="270">
        <v>545</v>
      </c>
      <c r="BT6" s="298">
        <v>0</v>
      </c>
      <c r="BU6" s="298">
        <v>0</v>
      </c>
      <c r="BV6" s="298">
        <v>0</v>
      </c>
      <c r="BW6" s="298">
        <v>0</v>
      </c>
      <c r="BX6" s="298">
        <v>0</v>
      </c>
      <c r="BY6" s="298">
        <v>0</v>
      </c>
      <c r="BZ6" s="298">
        <v>0</v>
      </c>
      <c r="CA6" s="298">
        <v>11235</v>
      </c>
      <c r="CB6" s="298">
        <v>1236657</v>
      </c>
      <c r="CC6" s="298">
        <v>385706</v>
      </c>
      <c r="CD6" s="298">
        <v>0</v>
      </c>
      <c r="CE6" s="298">
        <v>0</v>
      </c>
      <c r="CF6" s="298">
        <v>0</v>
      </c>
      <c r="CG6" s="298">
        <v>7556</v>
      </c>
      <c r="CH6" s="298">
        <v>1348546</v>
      </c>
      <c r="CI6" s="298">
        <v>12036</v>
      </c>
      <c r="CJ6" s="298">
        <v>12710</v>
      </c>
      <c r="CK6" s="298">
        <v>0</v>
      </c>
      <c r="CL6" s="298">
        <v>0</v>
      </c>
      <c r="CM6" s="298">
        <v>83295</v>
      </c>
      <c r="CN6" s="298">
        <v>0</v>
      </c>
      <c r="CO6" s="298">
        <v>0</v>
      </c>
      <c r="CP6" s="298">
        <v>0</v>
      </c>
      <c r="CQ6" s="298">
        <v>0</v>
      </c>
    </row>
    <row r="7" spans="1:95" x14ac:dyDescent="0.3">
      <c r="A7" s="270">
        <v>9</v>
      </c>
      <c r="B7" s="270">
        <v>9</v>
      </c>
      <c r="C7" s="270" t="s">
        <v>204</v>
      </c>
      <c r="D7" s="270" t="s">
        <v>301</v>
      </c>
      <c r="E7" s="1112">
        <v>734205</v>
      </c>
      <c r="F7" s="1112">
        <v>9392817</v>
      </c>
      <c r="G7" s="1112">
        <v>950074</v>
      </c>
      <c r="H7" s="1112">
        <v>1272910</v>
      </c>
      <c r="I7" s="1112">
        <v>598867</v>
      </c>
      <c r="J7" s="1112">
        <v>927247</v>
      </c>
      <c r="K7" s="1112">
        <v>21264083</v>
      </c>
      <c r="L7" s="1112">
        <v>562670</v>
      </c>
      <c r="M7" s="1112">
        <v>460486</v>
      </c>
      <c r="N7" s="1112">
        <v>3103367</v>
      </c>
      <c r="O7" s="1112">
        <v>891874</v>
      </c>
      <c r="P7" s="1112">
        <v>315505</v>
      </c>
      <c r="Q7" s="1112">
        <v>371482</v>
      </c>
      <c r="R7" s="1112">
        <v>1166690</v>
      </c>
      <c r="S7" s="270">
        <v>7009115</v>
      </c>
      <c r="T7" s="1112">
        <v>7831187</v>
      </c>
      <c r="U7" s="1112">
        <v>6809805</v>
      </c>
      <c r="V7" s="1112">
        <v>2696275</v>
      </c>
      <c r="W7" s="1112">
        <v>3676224</v>
      </c>
      <c r="X7" s="1112">
        <v>5252877</v>
      </c>
      <c r="Y7" s="1112">
        <v>2482713</v>
      </c>
      <c r="Z7" s="1112">
        <v>94536</v>
      </c>
      <c r="AA7" s="1112">
        <v>4767349</v>
      </c>
      <c r="AB7" s="1112">
        <v>946577</v>
      </c>
      <c r="AC7" s="1112">
        <v>1023437</v>
      </c>
      <c r="AD7" s="1112">
        <v>653118</v>
      </c>
      <c r="AE7" s="1112">
        <v>13797862</v>
      </c>
      <c r="AF7" s="1112">
        <v>2232752</v>
      </c>
      <c r="AG7" s="1112">
        <v>2859670</v>
      </c>
      <c r="AH7" s="1112">
        <v>2588617</v>
      </c>
      <c r="AI7" s="1112">
        <v>630869</v>
      </c>
      <c r="AJ7" s="1112">
        <v>8248529</v>
      </c>
      <c r="AK7" s="1112">
        <v>2143479</v>
      </c>
      <c r="AL7" s="270">
        <v>1793114</v>
      </c>
      <c r="AM7" s="1112">
        <v>0</v>
      </c>
      <c r="AN7" s="1112">
        <v>155255</v>
      </c>
      <c r="AO7" s="1112">
        <v>2950150</v>
      </c>
      <c r="AP7" s="1112">
        <v>4164568</v>
      </c>
      <c r="AQ7" s="1112">
        <v>828328</v>
      </c>
      <c r="AR7" s="1112">
        <v>360194</v>
      </c>
      <c r="AS7" s="1112">
        <v>1603404</v>
      </c>
      <c r="AT7" s="1112">
        <v>553029</v>
      </c>
      <c r="AU7" s="1112">
        <v>197953</v>
      </c>
      <c r="AV7" s="270">
        <v>245447</v>
      </c>
      <c r="AW7" s="1112">
        <v>3639227</v>
      </c>
      <c r="AX7" s="1112">
        <v>974289</v>
      </c>
      <c r="AY7" s="1112">
        <v>17253102</v>
      </c>
      <c r="AZ7" s="1112">
        <v>4810072</v>
      </c>
      <c r="BA7" s="1112">
        <v>2562544</v>
      </c>
      <c r="BB7" s="1112">
        <v>3114371</v>
      </c>
      <c r="BC7" s="1112">
        <v>1258784</v>
      </c>
      <c r="BD7" s="1112">
        <v>1049939</v>
      </c>
      <c r="BE7" s="1112">
        <v>247493</v>
      </c>
      <c r="BF7" s="1112">
        <v>1056019</v>
      </c>
      <c r="BG7" s="1112">
        <v>2017407</v>
      </c>
      <c r="BH7" s="1112">
        <v>10870411</v>
      </c>
      <c r="BI7" s="1112">
        <v>496361</v>
      </c>
      <c r="BJ7" s="1112">
        <v>271786</v>
      </c>
      <c r="BK7" s="1112">
        <v>7210023</v>
      </c>
      <c r="BL7" s="1112">
        <v>8277224</v>
      </c>
      <c r="BM7" s="1112">
        <v>7972800</v>
      </c>
      <c r="BN7" s="1112">
        <v>148761</v>
      </c>
      <c r="BO7" s="1112">
        <v>3251517</v>
      </c>
      <c r="BP7" s="1112">
        <v>2207633</v>
      </c>
      <c r="BQ7" s="1112">
        <v>7483728</v>
      </c>
      <c r="BR7" s="1112">
        <v>1844072</v>
      </c>
      <c r="BS7" s="1112">
        <v>1148689</v>
      </c>
      <c r="BT7" s="298">
        <v>2152145</v>
      </c>
      <c r="BU7" s="298">
        <v>2620131</v>
      </c>
      <c r="BV7" s="298">
        <v>555913</v>
      </c>
      <c r="BW7" s="298">
        <v>888389</v>
      </c>
      <c r="BX7" s="298">
        <v>3865318</v>
      </c>
      <c r="BY7" s="298">
        <v>621243</v>
      </c>
      <c r="BZ7" s="298">
        <v>0</v>
      </c>
      <c r="CA7" s="298">
        <v>4373967</v>
      </c>
      <c r="CB7" s="298">
        <v>57548714</v>
      </c>
      <c r="CC7" s="298">
        <v>23455082</v>
      </c>
      <c r="CD7" s="298">
        <v>1240116</v>
      </c>
      <c r="CE7" s="298">
        <v>2852633</v>
      </c>
      <c r="CF7" s="298">
        <v>285990</v>
      </c>
      <c r="CG7" s="298">
        <v>1115024</v>
      </c>
      <c r="CH7" s="298">
        <v>51469774</v>
      </c>
      <c r="CI7" s="298">
        <v>9494676</v>
      </c>
      <c r="CJ7" s="298">
        <v>1166107</v>
      </c>
      <c r="CK7" s="298">
        <v>2932949</v>
      </c>
      <c r="CL7" s="298">
        <v>1003491</v>
      </c>
      <c r="CM7" s="298">
        <v>12975711</v>
      </c>
      <c r="CN7" s="298">
        <v>2827249</v>
      </c>
      <c r="CO7" s="298">
        <v>1890522</v>
      </c>
      <c r="CP7" s="298">
        <v>1752887</v>
      </c>
      <c r="CQ7" s="298">
        <v>10175256</v>
      </c>
    </row>
    <row r="8" spans="1:95" x14ac:dyDescent="0.3">
      <c r="A8" s="270">
        <v>11</v>
      </c>
      <c r="B8" s="270">
        <v>11</v>
      </c>
      <c r="C8" s="270" t="s">
        <v>1767</v>
      </c>
      <c r="D8" s="270" t="s">
        <v>302</v>
      </c>
      <c r="E8" s="1112">
        <v>64735</v>
      </c>
      <c r="F8" s="270">
        <v>239450</v>
      </c>
      <c r="G8" s="1112">
        <v>87946</v>
      </c>
      <c r="H8" s="1112">
        <v>349373</v>
      </c>
      <c r="I8" s="1112">
        <v>148336</v>
      </c>
      <c r="J8" s="1112">
        <v>96030</v>
      </c>
      <c r="K8" s="1112">
        <v>0</v>
      </c>
      <c r="L8" s="1112">
        <v>32068</v>
      </c>
      <c r="M8" s="270">
        <v>31530</v>
      </c>
      <c r="N8" s="270">
        <v>0</v>
      </c>
      <c r="O8" s="1112">
        <v>116584</v>
      </c>
      <c r="P8" s="270">
        <v>69506</v>
      </c>
      <c r="Q8" s="1112">
        <v>22531</v>
      </c>
      <c r="R8" s="270">
        <v>0</v>
      </c>
      <c r="S8" s="270">
        <v>0</v>
      </c>
      <c r="T8" s="1112">
        <v>123370</v>
      </c>
      <c r="U8" s="1112">
        <v>122281</v>
      </c>
      <c r="V8" s="1112">
        <v>31901</v>
      </c>
      <c r="W8" s="1112">
        <v>0</v>
      </c>
      <c r="X8" s="270">
        <v>29456</v>
      </c>
      <c r="Y8" s="1112">
        <v>0</v>
      </c>
      <c r="Z8" s="1112">
        <v>12716</v>
      </c>
      <c r="AA8" s="1112">
        <v>732604</v>
      </c>
      <c r="AB8" s="1112">
        <v>28767</v>
      </c>
      <c r="AC8" s="270">
        <v>195287</v>
      </c>
      <c r="AD8" s="270">
        <v>110922</v>
      </c>
      <c r="AE8" s="270">
        <v>72443</v>
      </c>
      <c r="AF8" s="1112">
        <v>642054</v>
      </c>
      <c r="AG8" s="1112">
        <v>47095</v>
      </c>
      <c r="AH8" s="1112">
        <v>265445</v>
      </c>
      <c r="AI8" s="270">
        <v>5894</v>
      </c>
      <c r="AJ8" s="1112">
        <v>401568</v>
      </c>
      <c r="AK8" s="1112">
        <v>4327</v>
      </c>
      <c r="AL8" s="270">
        <v>169045</v>
      </c>
      <c r="AM8" s="270">
        <v>0</v>
      </c>
      <c r="AN8" s="270">
        <v>10213</v>
      </c>
      <c r="AO8" s="1112">
        <v>0</v>
      </c>
      <c r="AP8" s="1112">
        <v>57421</v>
      </c>
      <c r="AQ8" s="1112">
        <v>0</v>
      </c>
      <c r="AR8" s="1112">
        <v>103218</v>
      </c>
      <c r="AS8" s="270">
        <v>0</v>
      </c>
      <c r="AT8" s="270">
        <v>54732</v>
      </c>
      <c r="AU8" s="1112">
        <v>134008</v>
      </c>
      <c r="AV8" s="270">
        <v>153546</v>
      </c>
      <c r="AW8" s="1112">
        <v>192992</v>
      </c>
      <c r="AX8" s="1112">
        <v>62256</v>
      </c>
      <c r="AY8" s="270">
        <v>0</v>
      </c>
      <c r="AZ8" s="1112">
        <v>766332</v>
      </c>
      <c r="BA8" s="1112">
        <v>52537</v>
      </c>
      <c r="BB8" s="1112">
        <v>0</v>
      </c>
      <c r="BC8" s="1112">
        <v>61986</v>
      </c>
      <c r="BD8" s="1112">
        <v>33187</v>
      </c>
      <c r="BE8" s="1112">
        <v>56023</v>
      </c>
      <c r="BF8" s="1112">
        <v>32688</v>
      </c>
      <c r="BG8" s="1112">
        <v>85694</v>
      </c>
      <c r="BH8" s="1112">
        <v>0</v>
      </c>
      <c r="BI8" s="1112">
        <v>124645</v>
      </c>
      <c r="BJ8" s="1112">
        <v>53531</v>
      </c>
      <c r="BK8" s="1112">
        <v>0</v>
      </c>
      <c r="BL8" s="1112">
        <v>47450</v>
      </c>
      <c r="BM8" s="270">
        <v>12898</v>
      </c>
      <c r="BN8" s="270">
        <v>0</v>
      </c>
      <c r="BO8" s="1112">
        <v>0</v>
      </c>
      <c r="BP8" s="1112">
        <v>126674</v>
      </c>
      <c r="BQ8" s="270">
        <v>85516</v>
      </c>
      <c r="BR8" s="1112">
        <v>0</v>
      </c>
      <c r="BS8" s="1112">
        <v>0</v>
      </c>
      <c r="BT8" s="298">
        <v>43367</v>
      </c>
      <c r="BU8" s="298">
        <v>0</v>
      </c>
      <c r="BV8" s="298">
        <v>81106</v>
      </c>
      <c r="BW8" s="298">
        <v>92196</v>
      </c>
      <c r="BX8" s="298">
        <v>299113</v>
      </c>
      <c r="BY8" s="298">
        <v>0</v>
      </c>
      <c r="BZ8" s="298">
        <v>0</v>
      </c>
      <c r="CA8" s="298">
        <v>383541</v>
      </c>
      <c r="CB8" s="298">
        <v>0</v>
      </c>
      <c r="CC8" s="298">
        <v>0</v>
      </c>
      <c r="CD8" s="298">
        <v>341681</v>
      </c>
      <c r="CE8" s="298">
        <v>0</v>
      </c>
      <c r="CF8" s="298">
        <v>3194</v>
      </c>
      <c r="CG8" s="298">
        <v>70916</v>
      </c>
      <c r="CH8" s="298">
        <v>0</v>
      </c>
      <c r="CI8" s="298">
        <v>245226</v>
      </c>
      <c r="CJ8" s="298">
        <v>94284</v>
      </c>
      <c r="CK8" s="298">
        <v>231489</v>
      </c>
      <c r="CL8" s="298">
        <v>119083</v>
      </c>
      <c r="CM8" s="298">
        <v>121787</v>
      </c>
      <c r="CN8" s="298">
        <v>23910</v>
      </c>
      <c r="CO8" s="298">
        <v>291230</v>
      </c>
      <c r="CP8" s="298">
        <v>84034</v>
      </c>
      <c r="CQ8" s="298">
        <v>104146</v>
      </c>
    </row>
    <row r="9" spans="1:95" x14ac:dyDescent="0.3">
      <c r="A9" s="270"/>
      <c r="B9" s="270">
        <v>12</v>
      </c>
      <c r="C9" s="270" t="s">
        <v>618</v>
      </c>
      <c r="D9" s="270" t="s">
        <v>303</v>
      </c>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row>
    <row r="10" spans="1:95" x14ac:dyDescent="0.3">
      <c r="A10" s="270"/>
      <c r="B10" s="270">
        <v>13</v>
      </c>
      <c r="C10" s="270" t="s">
        <v>619</v>
      </c>
      <c r="D10" s="270" t="s">
        <v>304</v>
      </c>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270"/>
      <c r="AQ10" s="270"/>
      <c r="AR10" s="270"/>
      <c r="AS10" s="270"/>
      <c r="AT10" s="270"/>
      <c r="AU10" s="270"/>
      <c r="AV10" s="270"/>
      <c r="AW10" s="270"/>
      <c r="AX10" s="270"/>
      <c r="AY10" s="270"/>
      <c r="AZ10" s="270"/>
      <c r="BA10" s="270"/>
      <c r="BB10" s="270"/>
      <c r="BC10" s="270"/>
      <c r="BD10" s="270"/>
      <c r="BE10" s="270"/>
      <c r="BF10" s="270"/>
      <c r="BG10" s="270"/>
      <c r="BH10" s="270"/>
      <c r="BI10" s="270"/>
      <c r="BJ10" s="270"/>
      <c r="BK10" s="270"/>
      <c r="BL10" s="270"/>
      <c r="BM10" s="270"/>
      <c r="BN10" s="270"/>
      <c r="BO10" s="270"/>
      <c r="BP10" s="270"/>
      <c r="BQ10" s="270"/>
      <c r="BR10" s="270"/>
      <c r="BS10" s="270"/>
    </row>
    <row r="11" spans="1:95" x14ac:dyDescent="0.3">
      <c r="A11" s="270"/>
      <c r="B11" s="270">
        <v>14</v>
      </c>
      <c r="C11" s="270" t="s">
        <v>305</v>
      </c>
      <c r="D11" s="270" t="s">
        <v>306</v>
      </c>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row>
    <row r="12" spans="1:95" x14ac:dyDescent="0.3">
      <c r="A12" s="270">
        <v>16</v>
      </c>
      <c r="B12" s="270">
        <v>16</v>
      </c>
      <c r="C12" s="270" t="s">
        <v>206</v>
      </c>
      <c r="D12" s="270" t="s">
        <v>307</v>
      </c>
      <c r="E12" s="1112">
        <v>185658</v>
      </c>
      <c r="F12" s="1112">
        <v>7116783</v>
      </c>
      <c r="G12" s="1112">
        <v>985465</v>
      </c>
      <c r="H12" s="1112">
        <v>3056683</v>
      </c>
      <c r="I12" s="1112">
        <v>519133</v>
      </c>
      <c r="J12" s="1112">
        <v>727188</v>
      </c>
      <c r="K12" s="1112">
        <v>29326348</v>
      </c>
      <c r="L12" s="1112">
        <v>670414</v>
      </c>
      <c r="M12" s="1112">
        <v>584425</v>
      </c>
      <c r="N12" s="1112">
        <v>458303</v>
      </c>
      <c r="O12" s="1112">
        <v>1386393</v>
      </c>
      <c r="P12" s="1112">
        <v>63737</v>
      </c>
      <c r="Q12" s="1112">
        <v>401702</v>
      </c>
      <c r="R12" s="1112">
        <v>1705145</v>
      </c>
      <c r="S12" s="270">
        <v>1350003</v>
      </c>
      <c r="T12" s="1112">
        <v>7560554</v>
      </c>
      <c r="U12" s="1112">
        <v>11215376</v>
      </c>
      <c r="V12" s="1112">
        <v>5593369</v>
      </c>
      <c r="W12" s="1112">
        <v>529605</v>
      </c>
      <c r="X12" s="1112">
        <v>3925382</v>
      </c>
      <c r="Y12" s="1112">
        <v>2895156</v>
      </c>
      <c r="Z12" s="1112">
        <v>83633</v>
      </c>
      <c r="AA12" s="1112">
        <v>8679398</v>
      </c>
      <c r="AB12" s="1112">
        <v>2097750</v>
      </c>
      <c r="AC12" s="1112">
        <v>840943</v>
      </c>
      <c r="AD12" s="1112">
        <v>313595</v>
      </c>
      <c r="AE12" s="1112">
        <v>23189370</v>
      </c>
      <c r="AF12" s="1112">
        <v>706685</v>
      </c>
      <c r="AG12" s="1112">
        <v>2990568</v>
      </c>
      <c r="AH12" s="1112">
        <v>2535548</v>
      </c>
      <c r="AI12" s="1112">
        <v>230842</v>
      </c>
      <c r="AJ12" s="1112">
        <v>3216063</v>
      </c>
      <c r="AK12" s="1112">
        <v>3998143</v>
      </c>
      <c r="AL12" s="270">
        <v>3039525</v>
      </c>
      <c r="AM12" s="1112">
        <v>0</v>
      </c>
      <c r="AN12" s="1112">
        <v>184860</v>
      </c>
      <c r="AO12" s="1112">
        <v>530112</v>
      </c>
      <c r="AP12" s="1112">
        <v>5428003</v>
      </c>
      <c r="AQ12" s="1112">
        <v>735513</v>
      </c>
      <c r="AR12" s="1112">
        <v>121219</v>
      </c>
      <c r="AS12" s="1112">
        <v>323520</v>
      </c>
      <c r="AT12" s="1112">
        <v>801814</v>
      </c>
      <c r="AU12" s="1112">
        <v>91262</v>
      </c>
      <c r="AV12" s="270">
        <v>285490</v>
      </c>
      <c r="AW12" s="1112">
        <v>4786413</v>
      </c>
      <c r="AX12" s="1112">
        <v>441288</v>
      </c>
      <c r="AY12" s="1112">
        <v>43612089</v>
      </c>
      <c r="AZ12" s="1112">
        <v>1904106</v>
      </c>
      <c r="BA12" s="1112">
        <v>4560021</v>
      </c>
      <c r="BB12" s="1112">
        <v>1004495</v>
      </c>
      <c r="BC12" s="1112">
        <v>972778</v>
      </c>
      <c r="BD12" s="1112">
        <v>1394980</v>
      </c>
      <c r="BE12" s="1112">
        <v>245759</v>
      </c>
      <c r="BF12" s="1112">
        <v>1084310</v>
      </c>
      <c r="BG12" s="1112">
        <v>3070837</v>
      </c>
      <c r="BH12" s="1112">
        <v>12333845</v>
      </c>
      <c r="BI12" s="1112">
        <v>325884</v>
      </c>
      <c r="BJ12" s="1112">
        <v>95867</v>
      </c>
      <c r="BK12" s="1112">
        <v>11781941</v>
      </c>
      <c r="BL12" s="1112">
        <v>13418495</v>
      </c>
      <c r="BM12" s="1112">
        <v>7318070</v>
      </c>
      <c r="BN12" s="1112">
        <v>84490</v>
      </c>
      <c r="BO12" s="1112">
        <v>2194519</v>
      </c>
      <c r="BP12" s="1112">
        <v>1593457</v>
      </c>
      <c r="BQ12" s="1112">
        <v>7024303</v>
      </c>
      <c r="BR12" s="1112">
        <v>846935</v>
      </c>
      <c r="BS12" s="1112">
        <v>658170</v>
      </c>
      <c r="BT12" s="298">
        <v>2455830</v>
      </c>
      <c r="BU12" s="298">
        <v>3590461</v>
      </c>
      <c r="BV12" s="298">
        <v>573766</v>
      </c>
      <c r="BW12" s="298">
        <v>1824290</v>
      </c>
      <c r="BX12" s="298">
        <v>4969987</v>
      </c>
      <c r="BY12" s="298">
        <v>184899</v>
      </c>
      <c r="BZ12" s="298">
        <v>0</v>
      </c>
      <c r="CA12" s="298">
        <v>6065865</v>
      </c>
      <c r="CB12" s="298">
        <v>130882993</v>
      </c>
      <c r="CC12" s="298">
        <v>50869385</v>
      </c>
      <c r="CD12" s="298">
        <v>1211375</v>
      </c>
      <c r="CE12" s="298">
        <v>2279595</v>
      </c>
      <c r="CF12" s="298">
        <v>575683</v>
      </c>
      <c r="CG12" s="298">
        <v>1520072</v>
      </c>
      <c r="CH12" s="298">
        <v>198114271</v>
      </c>
      <c r="CI12" s="298">
        <v>8423925</v>
      </c>
      <c r="CJ12" s="298">
        <v>498147</v>
      </c>
      <c r="CK12" s="298">
        <v>4155029</v>
      </c>
      <c r="CL12" s="298">
        <v>502585</v>
      </c>
      <c r="CM12" s="298">
        <v>13155089</v>
      </c>
      <c r="CN12" s="298">
        <v>2898215</v>
      </c>
      <c r="CO12" s="298">
        <v>997684</v>
      </c>
      <c r="CP12" s="298">
        <v>2505067</v>
      </c>
      <c r="CQ12" s="298">
        <v>11152652</v>
      </c>
    </row>
    <row r="13" spans="1:95" x14ac:dyDescent="0.3">
      <c r="A13" s="270">
        <v>17</v>
      </c>
      <c r="B13" s="270">
        <v>17</v>
      </c>
      <c r="C13" s="270" t="s">
        <v>209</v>
      </c>
      <c r="D13" s="270" t="s">
        <v>308</v>
      </c>
      <c r="E13" s="270">
        <v>258</v>
      </c>
      <c r="F13" s="1112">
        <v>0</v>
      </c>
      <c r="G13" s="1112">
        <v>0</v>
      </c>
      <c r="H13" s="1112">
        <v>0</v>
      </c>
      <c r="I13" s="270">
        <v>280000</v>
      </c>
      <c r="J13" s="270">
        <v>0</v>
      </c>
      <c r="K13" s="270">
        <v>4274452</v>
      </c>
      <c r="L13" s="1112">
        <v>0</v>
      </c>
      <c r="M13" s="1112">
        <v>0</v>
      </c>
      <c r="N13" s="270">
        <v>0</v>
      </c>
      <c r="O13" s="270">
        <v>24000</v>
      </c>
      <c r="P13" s="1112">
        <v>0</v>
      </c>
      <c r="Q13" s="270">
        <v>0</v>
      </c>
      <c r="R13" s="1112">
        <v>0</v>
      </c>
      <c r="S13" s="270">
        <v>0</v>
      </c>
      <c r="T13" s="270">
        <v>791862</v>
      </c>
      <c r="U13" s="1112">
        <v>0</v>
      </c>
      <c r="V13" s="270">
        <v>17500</v>
      </c>
      <c r="W13" s="270">
        <v>0</v>
      </c>
      <c r="X13" s="270">
        <v>0</v>
      </c>
      <c r="Y13" s="1112">
        <v>0</v>
      </c>
      <c r="Z13" s="270">
        <v>0</v>
      </c>
      <c r="AA13" s="270">
        <v>1706391</v>
      </c>
      <c r="AB13" s="270">
        <v>0</v>
      </c>
      <c r="AC13" s="1112">
        <v>0</v>
      </c>
      <c r="AD13" s="270">
        <v>0</v>
      </c>
      <c r="AE13" s="270">
        <v>0</v>
      </c>
      <c r="AF13" s="270">
        <v>0</v>
      </c>
      <c r="AG13" s="270">
        <v>0</v>
      </c>
      <c r="AH13" s="1112">
        <v>36170</v>
      </c>
      <c r="AI13" s="270">
        <v>0</v>
      </c>
      <c r="AJ13" s="270">
        <v>0</v>
      </c>
      <c r="AK13" s="270">
        <v>0</v>
      </c>
      <c r="AL13" s="270">
        <v>0</v>
      </c>
      <c r="AM13" s="270">
        <v>0</v>
      </c>
      <c r="AN13" s="270">
        <v>0</v>
      </c>
      <c r="AO13" s="270">
        <v>0</v>
      </c>
      <c r="AP13" s="1112">
        <v>1724790</v>
      </c>
      <c r="AQ13" s="270">
        <v>0</v>
      </c>
      <c r="AR13" s="270">
        <v>0</v>
      </c>
      <c r="AS13" s="270">
        <v>0</v>
      </c>
      <c r="AT13" s="270">
        <v>0</v>
      </c>
      <c r="AU13" s="1112">
        <v>0</v>
      </c>
      <c r="AV13" s="270">
        <v>0</v>
      </c>
      <c r="AW13" s="270">
        <v>0</v>
      </c>
      <c r="AX13" s="270">
        <v>20000</v>
      </c>
      <c r="AY13" s="1112">
        <v>554050</v>
      </c>
      <c r="AZ13" s="270">
        <v>504000</v>
      </c>
      <c r="BA13" s="270">
        <v>0</v>
      </c>
      <c r="BB13" s="270">
        <v>0</v>
      </c>
      <c r="BC13" s="270">
        <v>123881</v>
      </c>
      <c r="BD13" s="270">
        <v>0</v>
      </c>
      <c r="BE13" s="270">
        <v>0</v>
      </c>
      <c r="BF13" s="1112">
        <v>34354</v>
      </c>
      <c r="BG13" s="270">
        <v>0</v>
      </c>
      <c r="BH13" s="1112">
        <v>1873735</v>
      </c>
      <c r="BI13" s="270">
        <v>0</v>
      </c>
      <c r="BJ13" s="1112">
        <v>0</v>
      </c>
      <c r="BK13" s="270">
        <v>0</v>
      </c>
      <c r="BL13" s="270">
        <v>1375600</v>
      </c>
      <c r="BM13" s="270">
        <v>0</v>
      </c>
      <c r="BN13" s="270">
        <v>0</v>
      </c>
      <c r="BO13" s="270">
        <v>0</v>
      </c>
      <c r="BP13" s="270">
        <v>20766</v>
      </c>
      <c r="BQ13" s="1112">
        <v>0</v>
      </c>
      <c r="BR13" s="270">
        <v>0</v>
      </c>
      <c r="BS13" s="1112">
        <v>0</v>
      </c>
      <c r="BT13" s="298">
        <v>0</v>
      </c>
      <c r="BU13" s="298">
        <v>0</v>
      </c>
      <c r="BV13" s="298">
        <v>0</v>
      </c>
      <c r="BW13" s="298">
        <v>0</v>
      </c>
      <c r="BX13" s="298">
        <v>130100</v>
      </c>
      <c r="BY13" s="298">
        <v>0</v>
      </c>
      <c r="BZ13" s="298">
        <v>0</v>
      </c>
      <c r="CA13" s="298">
        <v>0</v>
      </c>
      <c r="CB13" s="298">
        <v>13080809</v>
      </c>
      <c r="CC13" s="298">
        <v>3538814</v>
      </c>
      <c r="CD13" s="298">
        <v>0</v>
      </c>
      <c r="CE13" s="298">
        <v>1000000</v>
      </c>
      <c r="CF13" s="298">
        <v>0</v>
      </c>
      <c r="CG13" s="298">
        <v>0</v>
      </c>
      <c r="CH13" s="298">
        <v>7836269</v>
      </c>
      <c r="CI13" s="298">
        <v>375578</v>
      </c>
      <c r="CJ13" s="298">
        <v>85193</v>
      </c>
      <c r="CK13" s="298">
        <v>0</v>
      </c>
      <c r="CL13" s="298">
        <v>0</v>
      </c>
      <c r="CM13" s="298">
        <v>513308</v>
      </c>
      <c r="CN13" s="298">
        <v>5579</v>
      </c>
      <c r="CO13" s="298">
        <v>0</v>
      </c>
      <c r="CP13" s="298">
        <v>0</v>
      </c>
      <c r="CQ13" s="298">
        <v>0</v>
      </c>
    </row>
    <row r="14" spans="1:95" x14ac:dyDescent="0.3">
      <c r="A14" s="270"/>
      <c r="B14" s="270">
        <v>19</v>
      </c>
      <c r="C14" s="270" t="s">
        <v>620</v>
      </c>
      <c r="D14" s="270" t="s">
        <v>309</v>
      </c>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70"/>
      <c r="AU14" s="270"/>
      <c r="AV14" s="270"/>
      <c r="AW14" s="270"/>
      <c r="AX14" s="270"/>
      <c r="AY14" s="270"/>
      <c r="AZ14" s="270"/>
      <c r="BA14" s="270"/>
      <c r="BB14" s="270"/>
      <c r="BC14" s="270"/>
      <c r="BD14" s="270"/>
      <c r="BE14" s="270"/>
      <c r="BF14" s="270"/>
      <c r="BG14" s="270"/>
      <c r="BH14" s="270"/>
      <c r="BI14" s="270"/>
      <c r="BJ14" s="270"/>
      <c r="BK14" s="270"/>
      <c r="BL14" s="270"/>
      <c r="BM14" s="270"/>
      <c r="BN14" s="270"/>
      <c r="BO14" s="270"/>
      <c r="BP14" s="270"/>
      <c r="BQ14" s="270"/>
      <c r="BR14" s="270"/>
      <c r="BS14" s="270"/>
    </row>
    <row r="15" spans="1:95" x14ac:dyDescent="0.3">
      <c r="A15" s="270">
        <v>20</v>
      </c>
      <c r="B15" s="270">
        <v>20</v>
      </c>
      <c r="C15" s="270" t="s">
        <v>210</v>
      </c>
      <c r="D15" s="270" t="s">
        <v>310</v>
      </c>
      <c r="E15" s="270">
        <v>0</v>
      </c>
      <c r="F15" s="270">
        <v>164439</v>
      </c>
      <c r="G15" s="270">
        <v>0</v>
      </c>
      <c r="H15" s="1112">
        <v>0</v>
      </c>
      <c r="I15" s="270">
        <v>0</v>
      </c>
      <c r="J15" s="270">
        <v>0</v>
      </c>
      <c r="K15" s="270">
        <v>2704528</v>
      </c>
      <c r="L15" s="270">
        <v>0</v>
      </c>
      <c r="M15" s="1112">
        <v>0</v>
      </c>
      <c r="N15" s="270">
        <v>0</v>
      </c>
      <c r="O15" s="270">
        <v>0</v>
      </c>
      <c r="P15" s="1112">
        <v>0</v>
      </c>
      <c r="Q15" s="1112">
        <v>10007</v>
      </c>
      <c r="R15" s="1112">
        <v>0</v>
      </c>
      <c r="S15" s="270">
        <v>0</v>
      </c>
      <c r="T15" s="270">
        <v>1203581</v>
      </c>
      <c r="U15" s="270">
        <v>783369</v>
      </c>
      <c r="V15" s="270">
        <v>73000</v>
      </c>
      <c r="W15" s="270">
        <v>0</v>
      </c>
      <c r="X15" s="270">
        <v>100000</v>
      </c>
      <c r="Y15" s="1112">
        <v>16000</v>
      </c>
      <c r="Z15" s="270">
        <v>0</v>
      </c>
      <c r="AA15" s="270">
        <v>0</v>
      </c>
      <c r="AB15" s="270">
        <v>25654</v>
      </c>
      <c r="AC15" s="1112">
        <v>0</v>
      </c>
      <c r="AD15" s="1112">
        <v>0</v>
      </c>
      <c r="AE15" s="270">
        <v>1054576</v>
      </c>
      <c r="AF15" s="270">
        <v>0</v>
      </c>
      <c r="AG15" s="270">
        <v>0</v>
      </c>
      <c r="AH15" s="1112">
        <v>524515</v>
      </c>
      <c r="AI15" s="1112">
        <v>0</v>
      </c>
      <c r="AJ15" s="270">
        <v>1207238</v>
      </c>
      <c r="AK15" s="1112">
        <v>100000</v>
      </c>
      <c r="AL15" s="270">
        <v>10000</v>
      </c>
      <c r="AM15" s="270">
        <v>0</v>
      </c>
      <c r="AN15" s="1112">
        <v>0</v>
      </c>
      <c r="AO15" s="270">
        <v>0</v>
      </c>
      <c r="AP15" s="270">
        <v>25000</v>
      </c>
      <c r="AQ15" s="270">
        <v>0</v>
      </c>
      <c r="AR15" s="270">
        <v>0</v>
      </c>
      <c r="AS15" s="270">
        <v>0</v>
      </c>
      <c r="AT15" s="1112">
        <v>0</v>
      </c>
      <c r="AU15" s="1112">
        <v>0</v>
      </c>
      <c r="AV15" s="270">
        <v>0</v>
      </c>
      <c r="AW15" s="1112">
        <v>50000</v>
      </c>
      <c r="AX15" s="270">
        <v>0</v>
      </c>
      <c r="AY15" s="1112">
        <v>4978420</v>
      </c>
      <c r="AZ15" s="270">
        <v>510476</v>
      </c>
      <c r="BA15" s="270">
        <v>28504</v>
      </c>
      <c r="BB15" s="270">
        <v>89791</v>
      </c>
      <c r="BC15" s="1112">
        <v>0</v>
      </c>
      <c r="BD15" s="270">
        <v>0</v>
      </c>
      <c r="BE15" s="270">
        <v>0</v>
      </c>
      <c r="BF15" s="270">
        <v>0</v>
      </c>
      <c r="BG15" s="270">
        <v>0</v>
      </c>
      <c r="BH15" s="270">
        <v>850259</v>
      </c>
      <c r="BI15" s="1112">
        <v>0</v>
      </c>
      <c r="BJ15" s="270">
        <v>0</v>
      </c>
      <c r="BK15" s="270">
        <v>698000</v>
      </c>
      <c r="BL15" s="270">
        <v>0</v>
      </c>
      <c r="BM15" s="1112">
        <v>0</v>
      </c>
      <c r="BN15" s="1112">
        <v>0</v>
      </c>
      <c r="BO15" s="270">
        <v>0</v>
      </c>
      <c r="BP15" s="270">
        <v>153646</v>
      </c>
      <c r="BQ15" s="1112">
        <v>0</v>
      </c>
      <c r="BR15" s="270">
        <v>20000</v>
      </c>
      <c r="BS15" s="1112">
        <v>0</v>
      </c>
      <c r="BT15" s="298">
        <v>0</v>
      </c>
      <c r="BU15" s="298">
        <v>103301</v>
      </c>
      <c r="BV15" s="298">
        <v>0</v>
      </c>
      <c r="BW15" s="298">
        <v>98669</v>
      </c>
      <c r="BX15" s="298">
        <v>380425</v>
      </c>
      <c r="BY15" s="298">
        <v>0</v>
      </c>
      <c r="BZ15" s="298">
        <v>0</v>
      </c>
      <c r="CA15" s="298">
        <v>100000</v>
      </c>
      <c r="CB15" s="298">
        <v>27482106</v>
      </c>
      <c r="CC15" s="298">
        <v>4220945</v>
      </c>
      <c r="CD15" s="298">
        <v>128529</v>
      </c>
      <c r="CE15" s="298">
        <v>5622</v>
      </c>
      <c r="CF15" s="298">
        <v>0</v>
      </c>
      <c r="CG15" s="298">
        <v>15853</v>
      </c>
      <c r="CH15" s="298">
        <v>6922676</v>
      </c>
      <c r="CI15" s="298">
        <v>0</v>
      </c>
      <c r="CJ15" s="298">
        <v>0</v>
      </c>
      <c r="CK15" s="298">
        <v>0</v>
      </c>
      <c r="CL15" s="298">
        <v>54276</v>
      </c>
      <c r="CM15" s="298">
        <v>1857500</v>
      </c>
      <c r="CN15" s="298">
        <v>70525</v>
      </c>
      <c r="CO15" s="298">
        <v>0</v>
      </c>
      <c r="CP15" s="298">
        <v>100450</v>
      </c>
      <c r="CQ15" s="298">
        <v>675564</v>
      </c>
    </row>
    <row r="16" spans="1:95" x14ac:dyDescent="0.3">
      <c r="A16" s="270"/>
      <c r="B16" s="270">
        <v>21</v>
      </c>
      <c r="C16" s="270" t="s">
        <v>621</v>
      </c>
      <c r="D16" s="270" t="s">
        <v>311</v>
      </c>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c r="BH16" s="270"/>
      <c r="BI16" s="270"/>
      <c r="BJ16" s="270"/>
      <c r="BK16" s="270"/>
      <c r="BL16" s="270"/>
      <c r="BM16" s="270"/>
      <c r="BN16" s="270"/>
      <c r="BO16" s="270"/>
      <c r="BP16" s="270"/>
      <c r="BQ16" s="270"/>
      <c r="BR16" s="270"/>
      <c r="BS16" s="270"/>
    </row>
    <row r="17" spans="1:95" x14ac:dyDescent="0.3">
      <c r="A17" s="270">
        <v>22</v>
      </c>
      <c r="B17" s="270">
        <v>22</v>
      </c>
      <c r="C17" s="270" t="s">
        <v>212</v>
      </c>
      <c r="D17" s="270" t="s">
        <v>312</v>
      </c>
      <c r="E17" s="1112">
        <v>0</v>
      </c>
      <c r="F17" s="270">
        <v>0</v>
      </c>
      <c r="G17" s="270">
        <v>0</v>
      </c>
      <c r="H17" s="270">
        <v>0</v>
      </c>
      <c r="I17" s="270">
        <v>8101</v>
      </c>
      <c r="J17" s="270">
        <v>0</v>
      </c>
      <c r="K17" s="1112">
        <v>0</v>
      </c>
      <c r="L17" s="270">
        <v>26000</v>
      </c>
      <c r="M17" s="1112">
        <v>0</v>
      </c>
      <c r="N17" s="1112">
        <v>75176</v>
      </c>
      <c r="O17" s="1112">
        <v>0</v>
      </c>
      <c r="P17" s="270">
        <v>0</v>
      </c>
      <c r="Q17" s="1112">
        <v>0</v>
      </c>
      <c r="R17" s="1112">
        <v>24055</v>
      </c>
      <c r="S17" s="270">
        <v>3150</v>
      </c>
      <c r="T17" s="270">
        <v>119577</v>
      </c>
      <c r="U17" s="1112">
        <v>0</v>
      </c>
      <c r="V17" s="270">
        <v>0</v>
      </c>
      <c r="W17" s="270">
        <v>0</v>
      </c>
      <c r="X17" s="270">
        <v>14226</v>
      </c>
      <c r="Y17" s="270">
        <v>18651</v>
      </c>
      <c r="Z17" s="270">
        <v>0</v>
      </c>
      <c r="AA17" s="270">
        <v>0</v>
      </c>
      <c r="AB17" s="270">
        <v>0</v>
      </c>
      <c r="AC17" s="270">
        <v>0</v>
      </c>
      <c r="AD17" s="1112">
        <v>0</v>
      </c>
      <c r="AE17" s="270">
        <v>0</v>
      </c>
      <c r="AF17" s="270">
        <v>0</v>
      </c>
      <c r="AG17" s="270">
        <v>0</v>
      </c>
      <c r="AH17" s="270">
        <v>0</v>
      </c>
      <c r="AI17" s="1112">
        <v>0</v>
      </c>
      <c r="AJ17" s="1112">
        <v>0</v>
      </c>
      <c r="AK17" s="270">
        <v>4437</v>
      </c>
      <c r="AL17" s="270">
        <v>0</v>
      </c>
      <c r="AM17" s="270">
        <v>0</v>
      </c>
      <c r="AN17" s="1112">
        <v>0</v>
      </c>
      <c r="AO17" s="270">
        <v>0</v>
      </c>
      <c r="AP17" s="270">
        <v>0</v>
      </c>
      <c r="AQ17" s="270">
        <v>0</v>
      </c>
      <c r="AR17" s="1112">
        <v>18051</v>
      </c>
      <c r="AS17" s="1112">
        <v>0</v>
      </c>
      <c r="AT17" s="1112">
        <v>0</v>
      </c>
      <c r="AU17" s="270">
        <v>0</v>
      </c>
      <c r="AV17" s="270">
        <v>241162</v>
      </c>
      <c r="AW17" s="1112">
        <v>0</v>
      </c>
      <c r="AX17" s="270">
        <v>0</v>
      </c>
      <c r="AY17" s="1112">
        <v>0</v>
      </c>
      <c r="AZ17" s="270">
        <v>0</v>
      </c>
      <c r="BA17" s="270">
        <v>0</v>
      </c>
      <c r="BB17" s="270">
        <v>0</v>
      </c>
      <c r="BC17" s="270">
        <v>0</v>
      </c>
      <c r="BD17" s="270">
        <v>0</v>
      </c>
      <c r="BE17" s="270">
        <v>0</v>
      </c>
      <c r="BF17" s="270">
        <v>0</v>
      </c>
      <c r="BG17" s="270">
        <v>0</v>
      </c>
      <c r="BH17" s="270">
        <v>0</v>
      </c>
      <c r="BI17" s="270">
        <v>0</v>
      </c>
      <c r="BJ17" s="270">
        <v>0</v>
      </c>
      <c r="BK17" s="1112">
        <v>29978</v>
      </c>
      <c r="BL17" s="270">
        <v>64717</v>
      </c>
      <c r="BM17" s="270">
        <v>338618</v>
      </c>
      <c r="BN17" s="270">
        <v>0</v>
      </c>
      <c r="BO17" s="1112">
        <v>0</v>
      </c>
      <c r="BP17" s="1112">
        <v>0</v>
      </c>
      <c r="BQ17" s="270">
        <v>239870</v>
      </c>
      <c r="BR17" s="270">
        <v>0</v>
      </c>
      <c r="BS17" s="1112">
        <v>0</v>
      </c>
      <c r="BT17" s="298">
        <v>0</v>
      </c>
      <c r="BU17" s="298">
        <v>0</v>
      </c>
      <c r="BV17" s="298">
        <v>0</v>
      </c>
      <c r="BW17" s="298">
        <v>0</v>
      </c>
      <c r="BX17" s="298">
        <v>0</v>
      </c>
      <c r="BY17" s="298">
        <v>0</v>
      </c>
      <c r="BZ17" s="298">
        <v>0</v>
      </c>
      <c r="CA17" s="298">
        <v>27220</v>
      </c>
      <c r="CB17" s="298">
        <v>0</v>
      </c>
      <c r="CC17" s="298">
        <v>171645</v>
      </c>
      <c r="CD17" s="298">
        <v>0</v>
      </c>
      <c r="CE17" s="298">
        <v>22300</v>
      </c>
      <c r="CF17" s="298">
        <v>0</v>
      </c>
      <c r="CG17" s="298">
        <v>0</v>
      </c>
      <c r="CH17" s="298">
        <v>0</v>
      </c>
      <c r="CI17" s="298">
        <v>58600</v>
      </c>
      <c r="CJ17" s="298">
        <v>0</v>
      </c>
      <c r="CK17" s="298">
        <v>33946</v>
      </c>
      <c r="CL17" s="298">
        <v>0</v>
      </c>
      <c r="CM17" s="298">
        <v>0</v>
      </c>
      <c r="CN17" s="298">
        <v>0</v>
      </c>
      <c r="CO17" s="298">
        <v>0</v>
      </c>
      <c r="CP17" s="298">
        <v>0</v>
      </c>
      <c r="CQ17" s="298">
        <v>0</v>
      </c>
    </row>
    <row r="18" spans="1:95" x14ac:dyDescent="0.3">
      <c r="A18" s="270">
        <v>23</v>
      </c>
      <c r="B18" s="270">
        <v>23</v>
      </c>
      <c r="C18" s="270" t="s">
        <v>215</v>
      </c>
      <c r="D18" s="270" t="s">
        <v>313</v>
      </c>
      <c r="E18" s="1112">
        <v>81538</v>
      </c>
      <c r="F18" s="1112">
        <v>447780</v>
      </c>
      <c r="G18" s="1112">
        <v>8789</v>
      </c>
      <c r="H18" s="1112">
        <v>-11801</v>
      </c>
      <c r="I18" s="1112">
        <v>-51744</v>
      </c>
      <c r="J18" s="1112">
        <v>42040</v>
      </c>
      <c r="K18" s="1112">
        <v>-1465894</v>
      </c>
      <c r="L18" s="1112">
        <v>6971</v>
      </c>
      <c r="M18" s="1112">
        <v>-16485</v>
      </c>
      <c r="N18" s="1112">
        <v>108984</v>
      </c>
      <c r="O18" s="1112">
        <v>79416</v>
      </c>
      <c r="P18" s="1112">
        <v>-37192</v>
      </c>
      <c r="Q18" s="1112">
        <v>32219</v>
      </c>
      <c r="R18" s="1112">
        <v>-182008</v>
      </c>
      <c r="S18" s="270">
        <v>-29205</v>
      </c>
      <c r="T18" s="1112">
        <v>365157</v>
      </c>
      <c r="U18" s="1112">
        <v>1088642</v>
      </c>
      <c r="V18" s="1112">
        <v>486988</v>
      </c>
      <c r="W18" s="1112">
        <v>332256</v>
      </c>
      <c r="X18" s="1112">
        <v>567198</v>
      </c>
      <c r="Y18" s="1112">
        <v>291199</v>
      </c>
      <c r="Z18" s="1112">
        <v>1878</v>
      </c>
      <c r="AA18" s="1112">
        <v>-878887</v>
      </c>
      <c r="AB18" s="1112">
        <v>220002</v>
      </c>
      <c r="AC18" s="1112">
        <v>121071</v>
      </c>
      <c r="AD18" s="1112">
        <v>76056</v>
      </c>
      <c r="AE18" s="1112">
        <v>1598015</v>
      </c>
      <c r="AF18" s="1112">
        <v>-60560</v>
      </c>
      <c r="AG18" s="1112">
        <v>77877</v>
      </c>
      <c r="AH18" s="1112">
        <v>-453782</v>
      </c>
      <c r="AI18" s="1112">
        <v>131937</v>
      </c>
      <c r="AJ18" s="1112">
        <v>136145</v>
      </c>
      <c r="AK18" s="1112">
        <v>394852</v>
      </c>
      <c r="AL18" s="270">
        <v>33323</v>
      </c>
      <c r="AM18" s="1112">
        <v>0</v>
      </c>
      <c r="AN18" s="1112">
        <v>17565</v>
      </c>
      <c r="AO18" s="1112">
        <v>133971</v>
      </c>
      <c r="AP18" s="1112">
        <v>1998515</v>
      </c>
      <c r="AQ18" s="1112">
        <v>-91756</v>
      </c>
      <c r="AR18" s="1112">
        <v>47909</v>
      </c>
      <c r="AS18" s="1112">
        <v>61416</v>
      </c>
      <c r="AT18" s="1112">
        <v>-29559</v>
      </c>
      <c r="AU18" s="1112">
        <v>887</v>
      </c>
      <c r="AV18" s="270">
        <v>-10635</v>
      </c>
      <c r="AW18" s="1112">
        <v>341278</v>
      </c>
      <c r="AX18" s="1112">
        <v>117930</v>
      </c>
      <c r="AY18" s="1112">
        <v>773338</v>
      </c>
      <c r="AZ18" s="1112">
        <v>325967</v>
      </c>
      <c r="BA18" s="1112">
        <v>379024</v>
      </c>
      <c r="BB18" s="1112">
        <v>360886</v>
      </c>
      <c r="BC18" s="1112">
        <v>253536</v>
      </c>
      <c r="BD18" s="1112">
        <v>11807</v>
      </c>
      <c r="BE18" s="270">
        <v>18123</v>
      </c>
      <c r="BF18" s="1112">
        <v>145155</v>
      </c>
      <c r="BG18" s="1112">
        <v>340464</v>
      </c>
      <c r="BH18" s="270">
        <v>1217801</v>
      </c>
      <c r="BI18" s="1112">
        <v>55189</v>
      </c>
      <c r="BJ18" s="1112">
        <v>38033</v>
      </c>
      <c r="BK18" s="1112">
        <v>1667743</v>
      </c>
      <c r="BL18" s="1112">
        <v>900977</v>
      </c>
      <c r="BM18" s="1112">
        <v>958586</v>
      </c>
      <c r="BN18" s="1112">
        <v>4496</v>
      </c>
      <c r="BO18" s="1112">
        <v>506527</v>
      </c>
      <c r="BP18" s="1112">
        <v>40392</v>
      </c>
      <c r="BQ18" s="1112">
        <v>845125</v>
      </c>
      <c r="BR18" s="1112">
        <v>320981</v>
      </c>
      <c r="BS18" s="1112">
        <v>-60986</v>
      </c>
      <c r="BT18" s="298">
        <v>63879</v>
      </c>
      <c r="BU18" s="298">
        <v>251896</v>
      </c>
      <c r="BV18" s="298">
        <v>39201</v>
      </c>
      <c r="BW18" s="298">
        <v>-5775</v>
      </c>
      <c r="BX18" s="298">
        <v>-209813</v>
      </c>
      <c r="BY18" s="298">
        <v>30802</v>
      </c>
      <c r="BZ18" s="298">
        <v>0</v>
      </c>
      <c r="CA18" s="298">
        <v>148673</v>
      </c>
      <c r="CB18" s="298">
        <v>1121094</v>
      </c>
      <c r="CC18" s="298">
        <v>-1157393</v>
      </c>
      <c r="CD18" s="298">
        <v>37435</v>
      </c>
      <c r="CE18" s="298">
        <v>292316</v>
      </c>
      <c r="CF18" s="298">
        <v>69998</v>
      </c>
      <c r="CG18" s="298">
        <v>-48542</v>
      </c>
      <c r="CH18" s="298">
        <v>1288669</v>
      </c>
      <c r="CI18" s="298">
        <v>442070</v>
      </c>
      <c r="CJ18" s="298">
        <v>4251</v>
      </c>
      <c r="CK18" s="298">
        <v>186347</v>
      </c>
      <c r="CL18" s="298">
        <v>145975</v>
      </c>
      <c r="CM18" s="298">
        <v>1439427</v>
      </c>
      <c r="CN18" s="298">
        <v>134694</v>
      </c>
      <c r="CO18" s="298">
        <v>163173</v>
      </c>
      <c r="CP18" s="298">
        <v>359202</v>
      </c>
      <c r="CQ18" s="298">
        <v>797101</v>
      </c>
    </row>
    <row r="19" spans="1:95" x14ac:dyDescent="0.3">
      <c r="A19" s="270"/>
      <c r="B19" s="270">
        <v>31</v>
      </c>
      <c r="C19" s="270" t="s">
        <v>622</v>
      </c>
      <c r="D19" s="270" t="s">
        <v>314</v>
      </c>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0"/>
      <c r="BH19" s="270"/>
      <c r="BI19" s="270"/>
      <c r="BJ19" s="270"/>
      <c r="BK19" s="270"/>
      <c r="BL19" s="270"/>
      <c r="BM19" s="270"/>
      <c r="BN19" s="270"/>
      <c r="BO19" s="270"/>
      <c r="BP19" s="270"/>
      <c r="BQ19" s="270"/>
      <c r="BR19" s="270"/>
      <c r="BS19" s="270"/>
    </row>
    <row r="20" spans="1:95" x14ac:dyDescent="0.3">
      <c r="A20" s="270"/>
      <c r="B20" s="270">
        <v>32</v>
      </c>
      <c r="C20" s="270" t="s">
        <v>315</v>
      </c>
      <c r="D20" s="270" t="s">
        <v>316</v>
      </c>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c r="BH20" s="270"/>
      <c r="BI20" s="270"/>
      <c r="BJ20" s="270"/>
      <c r="BK20" s="270"/>
      <c r="BL20" s="270"/>
      <c r="BM20" s="270"/>
      <c r="BN20" s="270"/>
      <c r="BO20" s="270"/>
      <c r="BP20" s="270"/>
      <c r="BQ20" s="270"/>
      <c r="BR20" s="270"/>
      <c r="BS20" s="270"/>
    </row>
    <row r="21" spans="1:95" x14ac:dyDescent="0.3">
      <c r="A21" s="270"/>
      <c r="B21" s="270">
        <v>33</v>
      </c>
      <c r="C21" s="270" t="s">
        <v>317</v>
      </c>
      <c r="D21" s="270" t="s">
        <v>318</v>
      </c>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c r="BE21" s="270"/>
      <c r="BF21" s="270"/>
      <c r="BG21" s="270"/>
      <c r="BH21" s="270"/>
      <c r="BI21" s="270"/>
      <c r="BJ21" s="270"/>
      <c r="BK21" s="270"/>
      <c r="BL21" s="270"/>
      <c r="BM21" s="270"/>
      <c r="BN21" s="270"/>
      <c r="BO21" s="270"/>
      <c r="BP21" s="270"/>
      <c r="BQ21" s="270"/>
      <c r="BR21" s="270"/>
      <c r="BS21" s="270"/>
    </row>
    <row r="22" spans="1:95" x14ac:dyDescent="0.3">
      <c r="A22" s="270"/>
      <c r="B22" s="270">
        <v>34</v>
      </c>
      <c r="C22" s="270" t="s">
        <v>319</v>
      </c>
      <c r="D22" s="270" t="s">
        <v>320</v>
      </c>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Q22" s="270"/>
      <c r="BR22" s="270"/>
      <c r="BS22" s="270"/>
    </row>
    <row r="23" spans="1:95" x14ac:dyDescent="0.3">
      <c r="A23" s="270"/>
      <c r="B23" s="270">
        <v>35</v>
      </c>
      <c r="C23" s="270" t="s">
        <v>623</v>
      </c>
      <c r="D23" s="270" t="s">
        <v>321</v>
      </c>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c r="BH23" s="270"/>
      <c r="BI23" s="270"/>
      <c r="BJ23" s="270"/>
      <c r="BK23" s="270"/>
      <c r="BL23" s="270"/>
      <c r="BM23" s="270"/>
      <c r="BN23" s="270"/>
      <c r="BO23" s="270"/>
      <c r="BP23" s="270"/>
      <c r="BQ23" s="270"/>
      <c r="BR23" s="270"/>
      <c r="BS23" s="270"/>
    </row>
    <row r="24" spans="1:95" x14ac:dyDescent="0.3">
      <c r="A24" s="270"/>
      <c r="B24" s="270">
        <v>36</v>
      </c>
      <c r="C24" s="270" t="s">
        <v>624</v>
      </c>
      <c r="D24" s="270" t="s">
        <v>322</v>
      </c>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0"/>
      <c r="BH24" s="270"/>
      <c r="BI24" s="270"/>
      <c r="BJ24" s="270"/>
      <c r="BK24" s="270"/>
      <c r="BL24" s="270"/>
      <c r="BM24" s="270"/>
      <c r="BN24" s="270"/>
      <c r="BO24" s="270"/>
      <c r="BP24" s="270"/>
      <c r="BQ24" s="270"/>
      <c r="BR24" s="270"/>
      <c r="BS24" s="270"/>
    </row>
    <row r="25" spans="1:95" x14ac:dyDescent="0.3">
      <c r="A25" s="270"/>
      <c r="B25" s="270">
        <v>37</v>
      </c>
      <c r="C25" s="270" t="s">
        <v>323</v>
      </c>
      <c r="D25" s="270" t="s">
        <v>324</v>
      </c>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c r="BH25" s="270"/>
      <c r="BI25" s="270"/>
      <c r="BJ25" s="270"/>
      <c r="BK25" s="270"/>
      <c r="BL25" s="270"/>
      <c r="BM25" s="270"/>
      <c r="BN25" s="270"/>
      <c r="BO25" s="270"/>
      <c r="BP25" s="270"/>
      <c r="BQ25" s="270"/>
      <c r="BR25" s="270"/>
      <c r="BS25" s="270"/>
    </row>
    <row r="26" spans="1:95" x14ac:dyDescent="0.3">
      <c r="A26" s="270"/>
      <c r="B26" s="270">
        <v>38</v>
      </c>
      <c r="C26" s="270" t="s">
        <v>625</v>
      </c>
      <c r="D26" s="270" t="s">
        <v>325</v>
      </c>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row>
    <row r="27" spans="1:95" x14ac:dyDescent="0.3">
      <c r="A27" s="270"/>
      <c r="B27" s="270">
        <v>39</v>
      </c>
      <c r="C27" s="270" t="s">
        <v>326</v>
      </c>
      <c r="D27" s="270" t="s">
        <v>327</v>
      </c>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row>
    <row r="28" spans="1:95" x14ac:dyDescent="0.3">
      <c r="A28" s="270"/>
      <c r="B28" s="270">
        <v>40</v>
      </c>
      <c r="C28" s="270" t="s">
        <v>328</v>
      </c>
      <c r="D28" s="270" t="s">
        <v>329</v>
      </c>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0"/>
      <c r="BH28" s="270"/>
      <c r="BI28" s="270"/>
      <c r="BJ28" s="270"/>
      <c r="BK28" s="270"/>
      <c r="BL28" s="270"/>
      <c r="BM28" s="270"/>
      <c r="BN28" s="270"/>
      <c r="BO28" s="270"/>
      <c r="BP28" s="270"/>
      <c r="BQ28" s="270"/>
      <c r="BR28" s="270"/>
      <c r="BS28" s="270"/>
    </row>
    <row r="29" spans="1:95" x14ac:dyDescent="0.3">
      <c r="A29" s="270"/>
      <c r="B29" s="270">
        <v>41</v>
      </c>
      <c r="C29" s="270" t="s">
        <v>330</v>
      </c>
      <c r="D29" s="270" t="s">
        <v>331</v>
      </c>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c r="BQ29" s="270"/>
      <c r="BR29" s="270"/>
      <c r="BS29" s="270"/>
    </row>
    <row r="30" spans="1:95" x14ac:dyDescent="0.3">
      <c r="A30" s="270"/>
      <c r="B30" s="270">
        <v>43</v>
      </c>
      <c r="C30" s="270" t="s">
        <v>332</v>
      </c>
      <c r="D30" s="270" t="s">
        <v>333</v>
      </c>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c r="BH30" s="270"/>
      <c r="BI30" s="270"/>
      <c r="BJ30" s="270"/>
      <c r="BK30" s="270"/>
      <c r="BL30" s="270"/>
      <c r="BM30" s="270"/>
      <c r="BN30" s="270"/>
      <c r="BO30" s="270"/>
      <c r="BP30" s="270"/>
      <c r="BQ30" s="270"/>
      <c r="BR30" s="270"/>
      <c r="BS30" s="270"/>
    </row>
    <row r="31" spans="1:95" x14ac:dyDescent="0.3">
      <c r="A31" s="270">
        <v>44</v>
      </c>
      <c r="B31" s="270">
        <v>44</v>
      </c>
      <c r="C31" s="270" t="s">
        <v>626</v>
      </c>
      <c r="D31" s="270" t="s">
        <v>334</v>
      </c>
      <c r="E31" s="1112">
        <v>0</v>
      </c>
      <c r="F31" s="1112">
        <v>0</v>
      </c>
      <c r="G31" s="1112">
        <v>559234</v>
      </c>
      <c r="H31" s="1112">
        <v>1482028</v>
      </c>
      <c r="I31" s="270">
        <v>2009052</v>
      </c>
      <c r="J31" s="1112">
        <v>174147</v>
      </c>
      <c r="K31" s="1112">
        <v>20463769</v>
      </c>
      <c r="L31" s="1112">
        <v>725715</v>
      </c>
      <c r="M31" s="1112">
        <v>0</v>
      </c>
      <c r="N31" s="270">
        <v>1500784</v>
      </c>
      <c r="O31" s="1112">
        <v>595248</v>
      </c>
      <c r="P31" s="270">
        <v>0</v>
      </c>
      <c r="Q31" s="1112">
        <v>86430</v>
      </c>
      <c r="R31" s="1112">
        <v>0</v>
      </c>
      <c r="S31" s="270">
        <v>0</v>
      </c>
      <c r="T31" s="1112">
        <v>0</v>
      </c>
      <c r="U31" s="1112">
        <v>5695692</v>
      </c>
      <c r="V31" s="1112">
        <v>0</v>
      </c>
      <c r="W31" s="1112">
        <v>2452861</v>
      </c>
      <c r="X31" s="1112">
        <v>0</v>
      </c>
      <c r="Y31" s="1112">
        <v>2217352</v>
      </c>
      <c r="Z31" s="270">
        <v>0</v>
      </c>
      <c r="AA31" s="1112">
        <v>3227885</v>
      </c>
      <c r="AB31" s="1112">
        <v>2660457</v>
      </c>
      <c r="AC31" s="1112">
        <v>97436</v>
      </c>
      <c r="AD31" s="1112">
        <v>202667</v>
      </c>
      <c r="AE31" s="1112">
        <v>11773715</v>
      </c>
      <c r="AF31" s="270">
        <v>0</v>
      </c>
      <c r="AG31" s="270">
        <v>2167309</v>
      </c>
      <c r="AH31" s="1112">
        <v>0</v>
      </c>
      <c r="AI31" s="1112">
        <v>1689738</v>
      </c>
      <c r="AJ31" s="1112">
        <v>2075367</v>
      </c>
      <c r="AK31" s="1112">
        <v>991254</v>
      </c>
      <c r="AL31" s="270">
        <v>1084014</v>
      </c>
      <c r="AM31" s="270">
        <v>0</v>
      </c>
      <c r="AN31" s="1112">
        <v>65021</v>
      </c>
      <c r="AO31" s="1112">
        <v>0</v>
      </c>
      <c r="AP31" s="1112">
        <v>1617301</v>
      </c>
      <c r="AQ31" s="270">
        <v>561376</v>
      </c>
      <c r="AR31" s="1112">
        <v>0</v>
      </c>
      <c r="AS31" s="1112">
        <v>0</v>
      </c>
      <c r="AT31" s="1112">
        <v>0</v>
      </c>
      <c r="AU31" s="1112">
        <v>0</v>
      </c>
      <c r="AV31" s="270">
        <v>271391</v>
      </c>
      <c r="AW31" s="1112">
        <v>3281326</v>
      </c>
      <c r="AX31" s="1112">
        <v>422062</v>
      </c>
      <c r="AY31" s="1112">
        <v>0</v>
      </c>
      <c r="AZ31" s="1112">
        <v>456225</v>
      </c>
      <c r="BA31" s="270">
        <v>3496740</v>
      </c>
      <c r="BB31" s="1112">
        <v>0</v>
      </c>
      <c r="BC31" s="1112">
        <v>1562731</v>
      </c>
      <c r="BD31" s="270">
        <v>1056893</v>
      </c>
      <c r="BE31" s="1112">
        <v>136084</v>
      </c>
      <c r="BF31" s="1112">
        <v>1342190</v>
      </c>
      <c r="BG31" s="1112">
        <v>2164175</v>
      </c>
      <c r="BH31" s="1112">
        <v>7933319</v>
      </c>
      <c r="BI31" s="1112">
        <v>0</v>
      </c>
      <c r="BJ31" s="1112">
        <v>0</v>
      </c>
      <c r="BK31" s="1112">
        <v>0</v>
      </c>
      <c r="BL31" s="270">
        <v>5312770</v>
      </c>
      <c r="BM31" s="1112">
        <v>3654356</v>
      </c>
      <c r="BN31" s="1112">
        <v>0</v>
      </c>
      <c r="BO31" s="1112">
        <v>0</v>
      </c>
      <c r="BP31" s="1112">
        <v>2298335</v>
      </c>
      <c r="BQ31" s="1112">
        <v>0</v>
      </c>
      <c r="BR31" s="1112">
        <v>0</v>
      </c>
      <c r="BS31" s="270">
        <v>0</v>
      </c>
      <c r="BT31" s="298">
        <v>1562312</v>
      </c>
      <c r="BU31" s="298">
        <v>0</v>
      </c>
      <c r="BV31" s="298">
        <v>308075</v>
      </c>
      <c r="BW31" s="298">
        <v>1939209</v>
      </c>
      <c r="BX31" s="298">
        <v>3275425</v>
      </c>
      <c r="BY31" s="298">
        <v>100021</v>
      </c>
      <c r="BZ31" s="298">
        <v>0</v>
      </c>
      <c r="CA31" s="298">
        <v>7808659</v>
      </c>
      <c r="CB31" s="298">
        <v>0</v>
      </c>
      <c r="CC31" s="298">
        <v>22104075</v>
      </c>
      <c r="CD31" s="298">
        <v>688510</v>
      </c>
      <c r="CE31" s="298">
        <v>2399837</v>
      </c>
      <c r="CF31" s="298">
        <v>97516</v>
      </c>
      <c r="CG31" s="298">
        <v>1007899</v>
      </c>
      <c r="CH31" s="298">
        <v>96586841</v>
      </c>
      <c r="CI31" s="298">
        <v>2094008</v>
      </c>
      <c r="CJ31" s="298">
        <v>1131186</v>
      </c>
      <c r="CK31" s="298">
        <v>0</v>
      </c>
      <c r="CL31" s="298">
        <v>751442</v>
      </c>
      <c r="CM31" s="298">
        <v>8482810</v>
      </c>
      <c r="CN31" s="298">
        <v>3422083</v>
      </c>
      <c r="CO31" s="298">
        <v>2389020</v>
      </c>
      <c r="CP31" s="298">
        <v>0</v>
      </c>
      <c r="CQ31" s="298">
        <v>0</v>
      </c>
    </row>
    <row r="32" spans="1:95" x14ac:dyDescent="0.3">
      <c r="A32" s="270">
        <v>45</v>
      </c>
      <c r="B32" s="270">
        <v>45</v>
      </c>
      <c r="C32" s="270" t="s">
        <v>627</v>
      </c>
      <c r="D32" s="270" t="s">
        <v>335</v>
      </c>
      <c r="E32" s="1112">
        <v>0</v>
      </c>
      <c r="F32" s="1112">
        <v>0</v>
      </c>
      <c r="G32" s="1112">
        <v>59223</v>
      </c>
      <c r="H32" s="1112">
        <v>673426</v>
      </c>
      <c r="I32" s="270">
        <v>84287</v>
      </c>
      <c r="J32" s="1112">
        <v>133033</v>
      </c>
      <c r="K32" s="1112">
        <v>2984340</v>
      </c>
      <c r="L32" s="1112">
        <v>56218</v>
      </c>
      <c r="M32" s="1112">
        <v>0</v>
      </c>
      <c r="N32" s="270">
        <v>17782</v>
      </c>
      <c r="O32" s="1112">
        <v>494129</v>
      </c>
      <c r="P32" s="270">
        <v>0</v>
      </c>
      <c r="Q32" s="1112">
        <v>23079</v>
      </c>
      <c r="R32" s="1112">
        <v>0</v>
      </c>
      <c r="S32" s="270">
        <v>0</v>
      </c>
      <c r="T32" s="1112">
        <v>0</v>
      </c>
      <c r="U32" s="1112">
        <v>2586636</v>
      </c>
      <c r="V32" s="1112">
        <v>0</v>
      </c>
      <c r="W32" s="1112">
        <v>55184</v>
      </c>
      <c r="X32" s="1112">
        <v>0</v>
      </c>
      <c r="Y32" s="1112">
        <v>139779</v>
      </c>
      <c r="Z32" s="270">
        <v>0</v>
      </c>
      <c r="AA32" s="1112">
        <v>178310</v>
      </c>
      <c r="AB32" s="1112">
        <v>334971</v>
      </c>
      <c r="AC32" s="1112">
        <v>357068</v>
      </c>
      <c r="AD32" s="1112">
        <v>55552</v>
      </c>
      <c r="AE32" s="1112">
        <v>3824399</v>
      </c>
      <c r="AF32" s="270">
        <v>0</v>
      </c>
      <c r="AG32" s="270">
        <v>369426</v>
      </c>
      <c r="AH32" s="1112">
        <v>0</v>
      </c>
      <c r="AI32" s="1112">
        <v>1325937</v>
      </c>
      <c r="AJ32" s="1112">
        <v>1665209</v>
      </c>
      <c r="AK32" s="1112">
        <v>360320</v>
      </c>
      <c r="AL32" s="270">
        <v>254907</v>
      </c>
      <c r="AM32" s="270">
        <v>0</v>
      </c>
      <c r="AN32" s="1112">
        <v>4016</v>
      </c>
      <c r="AO32" s="270">
        <v>0</v>
      </c>
      <c r="AP32" s="1112">
        <v>248906</v>
      </c>
      <c r="AQ32" s="270">
        <v>464792</v>
      </c>
      <c r="AR32" s="1112">
        <v>0</v>
      </c>
      <c r="AS32" s="1112">
        <v>0</v>
      </c>
      <c r="AT32" s="1112">
        <v>0</v>
      </c>
      <c r="AU32" s="1112">
        <v>0</v>
      </c>
      <c r="AV32" s="270">
        <v>14384</v>
      </c>
      <c r="AW32" s="1112">
        <v>216890</v>
      </c>
      <c r="AX32" s="1112">
        <v>0</v>
      </c>
      <c r="AY32" s="1112">
        <v>0</v>
      </c>
      <c r="AZ32" s="270">
        <v>198257</v>
      </c>
      <c r="BA32" s="270">
        <v>407485</v>
      </c>
      <c r="BB32" s="270">
        <v>0</v>
      </c>
      <c r="BC32" s="1112">
        <v>158065</v>
      </c>
      <c r="BD32" s="270">
        <v>96012</v>
      </c>
      <c r="BE32" s="1112">
        <v>115373</v>
      </c>
      <c r="BF32" s="1112">
        <v>756534</v>
      </c>
      <c r="BG32" s="1112">
        <v>201587</v>
      </c>
      <c r="BH32" s="1112">
        <v>419221</v>
      </c>
      <c r="BI32" s="1112">
        <v>0</v>
      </c>
      <c r="BJ32" s="1112">
        <v>0</v>
      </c>
      <c r="BK32" s="1112">
        <v>0</v>
      </c>
      <c r="BL32" s="270">
        <v>268478</v>
      </c>
      <c r="BM32" s="270">
        <v>548456</v>
      </c>
      <c r="BN32" s="1112">
        <v>0</v>
      </c>
      <c r="BO32" s="1112">
        <v>0</v>
      </c>
      <c r="BP32" s="1112">
        <v>145303</v>
      </c>
      <c r="BQ32" s="1112">
        <v>0</v>
      </c>
      <c r="BR32" s="1112">
        <v>0</v>
      </c>
      <c r="BS32" s="270">
        <v>0</v>
      </c>
      <c r="BT32" s="298">
        <v>1211588</v>
      </c>
      <c r="BU32" s="298">
        <v>0</v>
      </c>
      <c r="BV32" s="298">
        <v>45331</v>
      </c>
      <c r="BW32" s="298">
        <v>70782</v>
      </c>
      <c r="BX32" s="298">
        <v>506595</v>
      </c>
      <c r="BY32" s="298">
        <v>8881</v>
      </c>
      <c r="BZ32" s="298">
        <v>0</v>
      </c>
      <c r="CA32" s="298">
        <v>711156</v>
      </c>
      <c r="CB32" s="298">
        <v>0</v>
      </c>
      <c r="CC32" s="298">
        <v>4611898</v>
      </c>
      <c r="CD32" s="298">
        <v>58095</v>
      </c>
      <c r="CE32" s="298">
        <v>606527</v>
      </c>
      <c r="CF32" s="298">
        <v>50820</v>
      </c>
      <c r="CG32" s="298">
        <v>628663</v>
      </c>
      <c r="CH32" s="298">
        <v>29191016</v>
      </c>
      <c r="CI32" s="298">
        <v>848797</v>
      </c>
      <c r="CJ32" s="298">
        <v>250192</v>
      </c>
      <c r="CK32" s="298">
        <v>0</v>
      </c>
      <c r="CL32" s="298">
        <v>56045</v>
      </c>
      <c r="CM32" s="298">
        <v>132025</v>
      </c>
      <c r="CN32" s="298">
        <v>83323</v>
      </c>
      <c r="CO32" s="298">
        <v>354642</v>
      </c>
      <c r="CP32" s="298">
        <v>0</v>
      </c>
      <c r="CQ32" s="298">
        <v>0</v>
      </c>
    </row>
    <row r="33" spans="1:95" x14ac:dyDescent="0.3">
      <c r="A33" s="270"/>
      <c r="B33" s="270">
        <v>46</v>
      </c>
      <c r="C33" s="270" t="s">
        <v>628</v>
      </c>
      <c r="D33" s="270" t="s">
        <v>336</v>
      </c>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c r="BH33" s="270"/>
      <c r="BI33" s="270"/>
      <c r="BJ33" s="270"/>
      <c r="BK33" s="270"/>
      <c r="BL33" s="270"/>
      <c r="BM33" s="270"/>
      <c r="BN33" s="270"/>
      <c r="BO33" s="270"/>
      <c r="BP33" s="270"/>
      <c r="BQ33" s="270"/>
      <c r="BR33" s="270"/>
      <c r="BS33" s="270"/>
    </row>
    <row r="34" spans="1:95" x14ac:dyDescent="0.3">
      <c r="A34" s="270">
        <v>47</v>
      </c>
      <c r="B34" s="270">
        <v>47</v>
      </c>
      <c r="C34" s="270" t="s">
        <v>629</v>
      </c>
      <c r="D34" s="270" t="s">
        <v>337</v>
      </c>
      <c r="E34" s="270">
        <v>0</v>
      </c>
      <c r="F34" s="270">
        <v>0</v>
      </c>
      <c r="G34" s="270">
        <v>0</v>
      </c>
      <c r="H34" s="1112">
        <v>0</v>
      </c>
      <c r="I34" s="270">
        <v>3356477</v>
      </c>
      <c r="J34" s="270">
        <v>0</v>
      </c>
      <c r="K34" s="270">
        <v>39860203</v>
      </c>
      <c r="L34" s="270">
        <v>0</v>
      </c>
      <c r="M34" s="1112">
        <v>0</v>
      </c>
      <c r="N34" s="270">
        <v>0</v>
      </c>
      <c r="O34" s="270">
        <v>0</v>
      </c>
      <c r="P34" s="270">
        <v>0</v>
      </c>
      <c r="Q34" s="270">
        <v>0</v>
      </c>
      <c r="R34" s="270">
        <v>0</v>
      </c>
      <c r="S34" s="270">
        <v>0</v>
      </c>
      <c r="T34" s="270">
        <v>0</v>
      </c>
      <c r="U34" s="270">
        <v>0</v>
      </c>
      <c r="V34" s="270">
        <v>0</v>
      </c>
      <c r="W34" s="270">
        <v>0</v>
      </c>
      <c r="X34" s="270">
        <v>0</v>
      </c>
      <c r="Y34" s="1112">
        <v>0</v>
      </c>
      <c r="Z34" s="270">
        <v>0</v>
      </c>
      <c r="AA34" s="270">
        <v>16811218</v>
      </c>
      <c r="AB34" s="270">
        <v>0</v>
      </c>
      <c r="AC34" s="270">
        <v>0</v>
      </c>
      <c r="AD34" s="270">
        <v>0</v>
      </c>
      <c r="AE34" s="270">
        <v>0</v>
      </c>
      <c r="AF34" s="270">
        <v>0</v>
      </c>
      <c r="AG34" s="270">
        <v>0</v>
      </c>
      <c r="AH34" s="270">
        <v>0</v>
      </c>
      <c r="AI34" s="270">
        <v>0</v>
      </c>
      <c r="AJ34" s="1112">
        <v>0</v>
      </c>
      <c r="AK34" s="270">
        <v>0</v>
      </c>
      <c r="AL34" s="270">
        <v>0</v>
      </c>
      <c r="AM34" s="270">
        <v>0</v>
      </c>
      <c r="AN34" s="1112">
        <v>0</v>
      </c>
      <c r="AO34" s="270">
        <v>0</v>
      </c>
      <c r="AP34" s="270">
        <v>0</v>
      </c>
      <c r="AQ34" s="270">
        <v>0</v>
      </c>
      <c r="AR34" s="270">
        <v>0</v>
      </c>
      <c r="AS34" s="270">
        <v>0</v>
      </c>
      <c r="AT34" s="270">
        <v>0</v>
      </c>
      <c r="AU34" s="270">
        <v>0</v>
      </c>
      <c r="AV34" s="270">
        <v>0</v>
      </c>
      <c r="AW34" s="270">
        <v>0</v>
      </c>
      <c r="AX34" s="270">
        <v>0</v>
      </c>
      <c r="AY34" s="270">
        <v>9681777</v>
      </c>
      <c r="AZ34" s="270">
        <v>0</v>
      </c>
      <c r="BA34" s="270">
        <v>0</v>
      </c>
      <c r="BB34" s="270">
        <v>0</v>
      </c>
      <c r="BC34" s="270">
        <v>0</v>
      </c>
      <c r="BD34" s="270">
        <v>0</v>
      </c>
      <c r="BE34" s="270">
        <v>277878</v>
      </c>
      <c r="BF34" s="270">
        <v>0</v>
      </c>
      <c r="BG34" s="270">
        <v>0</v>
      </c>
      <c r="BH34" s="1112">
        <v>21645509</v>
      </c>
      <c r="BI34" s="270">
        <v>0</v>
      </c>
      <c r="BJ34" s="270">
        <v>0</v>
      </c>
      <c r="BK34" s="270">
        <v>0</v>
      </c>
      <c r="BL34" s="270">
        <v>3813922</v>
      </c>
      <c r="BM34" s="270">
        <v>0</v>
      </c>
      <c r="BN34" s="270">
        <v>0</v>
      </c>
      <c r="BO34" s="270">
        <v>0</v>
      </c>
      <c r="BP34" s="270">
        <v>0</v>
      </c>
      <c r="BQ34" s="270">
        <v>0</v>
      </c>
      <c r="BR34" s="270">
        <v>0</v>
      </c>
      <c r="BS34" s="270">
        <v>0</v>
      </c>
      <c r="BT34" s="298">
        <v>0</v>
      </c>
      <c r="BU34" s="298">
        <v>0</v>
      </c>
      <c r="BV34" s="298">
        <v>0</v>
      </c>
      <c r="BW34" s="298">
        <v>0</v>
      </c>
      <c r="BX34" s="298">
        <v>0</v>
      </c>
      <c r="BY34" s="298">
        <v>0</v>
      </c>
      <c r="BZ34" s="298">
        <v>0</v>
      </c>
      <c r="CA34" s="298">
        <v>0</v>
      </c>
      <c r="CB34" s="298">
        <v>0</v>
      </c>
      <c r="CC34" s="298">
        <v>53576621</v>
      </c>
      <c r="CD34" s="298">
        <v>0</v>
      </c>
      <c r="CE34" s="298">
        <v>4381591</v>
      </c>
      <c r="CF34" s="298">
        <v>0</v>
      </c>
      <c r="CG34" s="298">
        <v>0</v>
      </c>
      <c r="CH34" s="298">
        <v>0</v>
      </c>
      <c r="CI34" s="298">
        <v>7601654</v>
      </c>
      <c r="CJ34" s="298">
        <v>0</v>
      </c>
      <c r="CK34" s="298">
        <v>0</v>
      </c>
      <c r="CL34" s="298">
        <v>0</v>
      </c>
      <c r="CM34" s="298">
        <v>0</v>
      </c>
      <c r="CN34" s="298">
        <v>0</v>
      </c>
      <c r="CO34" s="298">
        <v>0</v>
      </c>
      <c r="CP34" s="298">
        <v>0</v>
      </c>
      <c r="CQ34" s="298">
        <v>0</v>
      </c>
    </row>
    <row r="35" spans="1:95" x14ac:dyDescent="0.3">
      <c r="A35" s="270">
        <v>48</v>
      </c>
      <c r="B35" s="270">
        <v>48</v>
      </c>
      <c r="C35" s="270" t="s">
        <v>123</v>
      </c>
      <c r="D35" s="270" t="s">
        <v>338</v>
      </c>
      <c r="E35" s="270">
        <v>0</v>
      </c>
      <c r="F35" s="270">
        <v>0</v>
      </c>
      <c r="G35" s="270">
        <v>0</v>
      </c>
      <c r="H35" s="1112">
        <v>0</v>
      </c>
      <c r="I35" s="270">
        <v>108860</v>
      </c>
      <c r="J35" s="270">
        <v>0</v>
      </c>
      <c r="K35" s="270">
        <v>4164824</v>
      </c>
      <c r="L35" s="270">
        <v>0</v>
      </c>
      <c r="M35" s="1112">
        <v>0</v>
      </c>
      <c r="N35" s="270">
        <v>0</v>
      </c>
      <c r="O35" s="270">
        <v>0</v>
      </c>
      <c r="P35" s="270">
        <v>0</v>
      </c>
      <c r="Q35" s="270">
        <v>0</v>
      </c>
      <c r="R35" s="270">
        <v>0</v>
      </c>
      <c r="S35" s="270">
        <v>0</v>
      </c>
      <c r="T35" s="270">
        <v>0</v>
      </c>
      <c r="U35" s="270">
        <v>0</v>
      </c>
      <c r="V35" s="270">
        <v>0</v>
      </c>
      <c r="W35" s="270">
        <v>0</v>
      </c>
      <c r="X35" s="270">
        <v>0</v>
      </c>
      <c r="Y35" s="1112">
        <v>0</v>
      </c>
      <c r="Z35" s="270">
        <v>0</v>
      </c>
      <c r="AA35" s="270">
        <v>1594866</v>
      </c>
      <c r="AB35" s="270">
        <v>0</v>
      </c>
      <c r="AC35" s="270">
        <v>0</v>
      </c>
      <c r="AD35" s="270">
        <v>0</v>
      </c>
      <c r="AE35" s="270">
        <v>0</v>
      </c>
      <c r="AF35" s="270">
        <v>0</v>
      </c>
      <c r="AG35" s="270">
        <v>0</v>
      </c>
      <c r="AH35" s="270">
        <v>0</v>
      </c>
      <c r="AI35" s="270">
        <v>0</v>
      </c>
      <c r="AJ35" s="1112">
        <v>0</v>
      </c>
      <c r="AK35" s="270">
        <v>0</v>
      </c>
      <c r="AL35" s="270">
        <v>0</v>
      </c>
      <c r="AM35" s="270">
        <v>0</v>
      </c>
      <c r="AN35" s="1112">
        <v>0</v>
      </c>
      <c r="AO35" s="270">
        <v>0</v>
      </c>
      <c r="AP35" s="270">
        <v>0</v>
      </c>
      <c r="AQ35" s="270">
        <v>0</v>
      </c>
      <c r="AR35" s="270">
        <v>0</v>
      </c>
      <c r="AS35" s="270">
        <v>0</v>
      </c>
      <c r="AT35" s="270">
        <v>0</v>
      </c>
      <c r="AU35" s="270">
        <v>0</v>
      </c>
      <c r="AV35" s="270">
        <v>0</v>
      </c>
      <c r="AW35" s="270">
        <v>0</v>
      </c>
      <c r="AX35" s="270">
        <v>0</v>
      </c>
      <c r="AY35" s="270">
        <v>2940311</v>
      </c>
      <c r="AZ35" s="270">
        <v>0</v>
      </c>
      <c r="BA35" s="270">
        <v>0</v>
      </c>
      <c r="BB35" s="270">
        <v>0</v>
      </c>
      <c r="BC35" s="270">
        <v>0</v>
      </c>
      <c r="BD35" s="270">
        <v>0</v>
      </c>
      <c r="BE35" s="270">
        <v>21631</v>
      </c>
      <c r="BF35" s="270">
        <v>0</v>
      </c>
      <c r="BG35" s="270">
        <v>0</v>
      </c>
      <c r="BH35" s="1112">
        <v>2797065</v>
      </c>
      <c r="BI35" s="270">
        <v>0</v>
      </c>
      <c r="BJ35" s="270">
        <v>0</v>
      </c>
      <c r="BK35" s="270">
        <v>0</v>
      </c>
      <c r="BL35" s="270">
        <v>677442</v>
      </c>
      <c r="BM35" s="270">
        <v>0</v>
      </c>
      <c r="BN35" s="270">
        <v>0</v>
      </c>
      <c r="BO35" s="270">
        <v>0</v>
      </c>
      <c r="BP35" s="270">
        <v>0</v>
      </c>
      <c r="BQ35" s="270">
        <v>0</v>
      </c>
      <c r="BR35" s="270">
        <v>0</v>
      </c>
      <c r="BS35" s="270">
        <v>0</v>
      </c>
      <c r="BT35" s="298">
        <v>0</v>
      </c>
      <c r="BU35" s="298">
        <v>0</v>
      </c>
      <c r="BV35" s="298">
        <v>0</v>
      </c>
      <c r="BW35" s="298">
        <v>0</v>
      </c>
      <c r="BX35" s="298">
        <v>0</v>
      </c>
      <c r="BY35" s="298">
        <v>0</v>
      </c>
      <c r="BZ35" s="298">
        <v>0</v>
      </c>
      <c r="CA35" s="298">
        <v>0</v>
      </c>
      <c r="CB35" s="298">
        <v>0</v>
      </c>
      <c r="CC35" s="298">
        <v>12890180</v>
      </c>
      <c r="CD35" s="298">
        <v>0</v>
      </c>
      <c r="CE35" s="298">
        <v>895597</v>
      </c>
      <c r="CF35" s="298">
        <v>0</v>
      </c>
      <c r="CG35" s="298">
        <v>0</v>
      </c>
      <c r="CH35" s="298">
        <v>0</v>
      </c>
      <c r="CI35" s="298">
        <v>492494</v>
      </c>
      <c r="CJ35" s="298">
        <v>0</v>
      </c>
      <c r="CK35" s="298">
        <v>0</v>
      </c>
      <c r="CL35" s="298">
        <v>0</v>
      </c>
      <c r="CM35" s="298">
        <v>0</v>
      </c>
      <c r="CN35" s="298">
        <v>0</v>
      </c>
      <c r="CO35" s="298">
        <v>0</v>
      </c>
      <c r="CP35" s="298">
        <v>0</v>
      </c>
      <c r="CQ35" s="298">
        <v>0</v>
      </c>
    </row>
    <row r="36" spans="1:95" x14ac:dyDescent="0.3">
      <c r="A36" s="270">
        <v>49</v>
      </c>
      <c r="B36" s="270">
        <v>49</v>
      </c>
      <c r="C36" s="270" t="s">
        <v>228</v>
      </c>
      <c r="D36" s="270" t="s">
        <v>339</v>
      </c>
      <c r="E36" s="1112">
        <v>0</v>
      </c>
      <c r="F36" s="1112">
        <v>0</v>
      </c>
      <c r="G36" s="1112">
        <v>129405</v>
      </c>
      <c r="H36" s="1112">
        <v>467592</v>
      </c>
      <c r="I36" s="270">
        <v>305251</v>
      </c>
      <c r="J36" s="1112">
        <v>45477</v>
      </c>
      <c r="K36" s="1112">
        <v>3789023</v>
      </c>
      <c r="L36" s="1112">
        <v>186117</v>
      </c>
      <c r="M36" s="1112">
        <v>0</v>
      </c>
      <c r="N36" s="270">
        <v>113773</v>
      </c>
      <c r="O36" s="1112">
        <v>160457</v>
      </c>
      <c r="P36" s="270">
        <v>0</v>
      </c>
      <c r="Q36" s="1112">
        <v>86597</v>
      </c>
      <c r="R36" s="1112">
        <v>0</v>
      </c>
      <c r="S36" s="270">
        <v>0</v>
      </c>
      <c r="T36" s="1112">
        <v>0</v>
      </c>
      <c r="U36" s="1112">
        <v>1026404</v>
      </c>
      <c r="V36" s="1112">
        <v>0</v>
      </c>
      <c r="W36" s="1112">
        <v>109065</v>
      </c>
      <c r="X36" s="1112">
        <v>0</v>
      </c>
      <c r="Y36" s="1112">
        <v>298167</v>
      </c>
      <c r="Z36" s="270">
        <v>0</v>
      </c>
      <c r="AA36" s="1112">
        <v>1177546</v>
      </c>
      <c r="AB36" s="1112">
        <v>626913</v>
      </c>
      <c r="AC36" s="1112">
        <v>33505</v>
      </c>
      <c r="AD36" s="1112">
        <v>96001</v>
      </c>
      <c r="AE36" s="1112">
        <v>3513050</v>
      </c>
      <c r="AF36" s="270">
        <v>0</v>
      </c>
      <c r="AG36" s="270">
        <v>145501</v>
      </c>
      <c r="AH36" s="1112">
        <v>0</v>
      </c>
      <c r="AI36" s="1112">
        <v>72636</v>
      </c>
      <c r="AJ36" s="1112">
        <v>784923</v>
      </c>
      <c r="AK36" s="1112">
        <v>499485</v>
      </c>
      <c r="AL36" s="270">
        <v>262196</v>
      </c>
      <c r="AM36" s="270">
        <v>0</v>
      </c>
      <c r="AN36" s="1112">
        <v>10762</v>
      </c>
      <c r="AO36" s="1112">
        <v>0</v>
      </c>
      <c r="AP36" s="1112">
        <v>916708</v>
      </c>
      <c r="AQ36" s="270">
        <v>168078</v>
      </c>
      <c r="AR36" s="1112">
        <v>0</v>
      </c>
      <c r="AS36" s="1112">
        <v>0</v>
      </c>
      <c r="AT36" s="1112">
        <v>0</v>
      </c>
      <c r="AU36" s="1112">
        <v>0</v>
      </c>
      <c r="AV36" s="270">
        <v>25947</v>
      </c>
      <c r="AW36" s="1112">
        <v>379068</v>
      </c>
      <c r="AX36" s="1112">
        <v>102638</v>
      </c>
      <c r="AY36" s="1112">
        <v>0</v>
      </c>
      <c r="AZ36" s="1112">
        <v>0</v>
      </c>
      <c r="BA36" s="270">
        <v>880232</v>
      </c>
      <c r="BB36" s="270">
        <v>0</v>
      </c>
      <c r="BC36" s="1112">
        <v>128669</v>
      </c>
      <c r="BD36" s="270">
        <v>117525</v>
      </c>
      <c r="BE36" s="1112">
        <v>64662</v>
      </c>
      <c r="BF36" s="1112">
        <v>266126</v>
      </c>
      <c r="BG36" s="1112">
        <v>558884</v>
      </c>
      <c r="BH36" s="1112">
        <v>1647850</v>
      </c>
      <c r="BI36" s="1112">
        <v>0</v>
      </c>
      <c r="BJ36" s="1112">
        <v>0</v>
      </c>
      <c r="BK36" s="1112">
        <v>0</v>
      </c>
      <c r="BL36" s="270">
        <v>1060221</v>
      </c>
      <c r="BM36" s="1112">
        <v>336329</v>
      </c>
      <c r="BN36" s="1112">
        <v>0</v>
      </c>
      <c r="BO36" s="1112">
        <v>0</v>
      </c>
      <c r="BP36" s="1112">
        <v>270879</v>
      </c>
      <c r="BQ36" s="1112">
        <v>0</v>
      </c>
      <c r="BR36" s="1112">
        <v>0</v>
      </c>
      <c r="BS36" s="270">
        <v>0</v>
      </c>
      <c r="BT36" s="298">
        <v>299929</v>
      </c>
      <c r="BU36" s="298">
        <v>0</v>
      </c>
      <c r="BV36" s="298">
        <v>71275</v>
      </c>
      <c r="BW36" s="298">
        <v>120700</v>
      </c>
      <c r="BX36" s="298">
        <v>476817</v>
      </c>
      <c r="BY36" s="298">
        <v>17217</v>
      </c>
      <c r="BZ36" s="298">
        <v>0</v>
      </c>
      <c r="CA36" s="298">
        <v>778976</v>
      </c>
      <c r="CB36" s="298">
        <v>0</v>
      </c>
      <c r="CC36" s="298">
        <v>4393687</v>
      </c>
      <c r="CD36" s="298">
        <v>7564</v>
      </c>
      <c r="CE36" s="298">
        <v>217177</v>
      </c>
      <c r="CF36" s="298">
        <v>154072</v>
      </c>
      <c r="CG36" s="298">
        <v>260725</v>
      </c>
      <c r="CH36" s="298">
        <v>28060531</v>
      </c>
      <c r="CI36" s="298">
        <v>331117</v>
      </c>
      <c r="CJ36" s="298">
        <v>157162</v>
      </c>
      <c r="CK36" s="298">
        <v>0</v>
      </c>
      <c r="CL36" s="298">
        <v>67700</v>
      </c>
      <c r="CM36" s="298">
        <v>233706</v>
      </c>
      <c r="CN36" s="298">
        <v>624641</v>
      </c>
      <c r="CO36" s="298">
        <v>307960</v>
      </c>
      <c r="CP36" s="298">
        <v>0</v>
      </c>
      <c r="CQ36" s="298">
        <v>0</v>
      </c>
    </row>
    <row r="37" spans="1:95" x14ac:dyDescent="0.3">
      <c r="A37" s="270">
        <v>50</v>
      </c>
      <c r="B37" s="270">
        <v>50</v>
      </c>
      <c r="C37" s="270" t="s">
        <v>100</v>
      </c>
      <c r="D37" s="270" t="s">
        <v>340</v>
      </c>
      <c r="E37" s="1112">
        <v>0</v>
      </c>
      <c r="F37" s="1112">
        <v>0</v>
      </c>
      <c r="G37" s="1112">
        <v>-26206</v>
      </c>
      <c r="H37" s="1112">
        <v>-427388</v>
      </c>
      <c r="I37" s="270">
        <v>504189</v>
      </c>
      <c r="J37" s="1112">
        <v>-37972</v>
      </c>
      <c r="K37" s="1112">
        <v>287851</v>
      </c>
      <c r="L37" s="1112">
        <v>-109127</v>
      </c>
      <c r="M37" s="1112">
        <v>0</v>
      </c>
      <c r="N37" s="270">
        <v>-59616</v>
      </c>
      <c r="O37" s="1112">
        <v>1817238</v>
      </c>
      <c r="P37" s="270">
        <v>0</v>
      </c>
      <c r="Q37" s="1112">
        <v>-82359</v>
      </c>
      <c r="R37" s="1112">
        <v>0</v>
      </c>
      <c r="S37" s="270">
        <v>0</v>
      </c>
      <c r="T37" s="1112">
        <v>0</v>
      </c>
      <c r="U37" s="1112">
        <v>2740500</v>
      </c>
      <c r="V37" s="1112">
        <v>0</v>
      </c>
      <c r="W37" s="1112">
        <v>20018</v>
      </c>
      <c r="X37" s="1112">
        <v>0</v>
      </c>
      <c r="Y37" s="1112">
        <v>1737921</v>
      </c>
      <c r="Z37" s="270">
        <v>0</v>
      </c>
      <c r="AA37" s="1112">
        <v>-183768</v>
      </c>
      <c r="AB37" s="1112">
        <v>241385</v>
      </c>
      <c r="AC37" s="1112">
        <v>-187438</v>
      </c>
      <c r="AD37" s="1112">
        <v>-55321</v>
      </c>
      <c r="AE37" s="1112">
        <v>1193188</v>
      </c>
      <c r="AF37" s="270">
        <v>0</v>
      </c>
      <c r="AG37" s="270">
        <v>173519</v>
      </c>
      <c r="AH37" s="1112">
        <v>0</v>
      </c>
      <c r="AI37" s="1112">
        <v>3190001</v>
      </c>
      <c r="AJ37" s="1112">
        <v>-512271</v>
      </c>
      <c r="AK37" s="1112">
        <v>7243</v>
      </c>
      <c r="AL37" s="270">
        <v>940813</v>
      </c>
      <c r="AM37" s="270">
        <v>0</v>
      </c>
      <c r="AN37" s="1112">
        <v>8567</v>
      </c>
      <c r="AO37" s="1112">
        <v>0</v>
      </c>
      <c r="AP37" s="1112">
        <v>673184</v>
      </c>
      <c r="AQ37" s="270">
        <v>-180155</v>
      </c>
      <c r="AR37" s="1112">
        <v>0</v>
      </c>
      <c r="AS37" s="1112">
        <v>0</v>
      </c>
      <c r="AT37" s="1112">
        <v>0</v>
      </c>
      <c r="AU37" s="1112">
        <v>0</v>
      </c>
      <c r="AV37" s="270">
        <v>-43120</v>
      </c>
      <c r="AW37" s="1112">
        <v>-104027</v>
      </c>
      <c r="AX37" s="1112">
        <v>-104141</v>
      </c>
      <c r="AY37" s="1112">
        <v>0</v>
      </c>
      <c r="AZ37" s="1112">
        <v>2159</v>
      </c>
      <c r="BA37" s="270">
        <v>-184998</v>
      </c>
      <c r="BB37" s="270">
        <v>0</v>
      </c>
      <c r="BC37" s="1112">
        <v>-3430</v>
      </c>
      <c r="BD37" s="270">
        <v>49790</v>
      </c>
      <c r="BE37" s="1112">
        <v>-47292</v>
      </c>
      <c r="BF37" s="1112">
        <v>1700387</v>
      </c>
      <c r="BG37" s="1112">
        <v>783561</v>
      </c>
      <c r="BH37" s="1112">
        <v>24211</v>
      </c>
      <c r="BI37" s="1112">
        <v>0</v>
      </c>
      <c r="BJ37" s="1112">
        <v>0</v>
      </c>
      <c r="BK37" s="1112">
        <v>0</v>
      </c>
      <c r="BL37" s="270">
        <v>10465</v>
      </c>
      <c r="BM37" s="1112">
        <v>498615</v>
      </c>
      <c r="BN37" s="1112">
        <v>0</v>
      </c>
      <c r="BO37" s="1112">
        <v>0</v>
      </c>
      <c r="BP37" s="1112">
        <v>-14921</v>
      </c>
      <c r="BQ37" s="1112">
        <v>0</v>
      </c>
      <c r="BR37" s="1112">
        <v>0</v>
      </c>
      <c r="BS37" s="270">
        <v>0</v>
      </c>
      <c r="BT37" s="298">
        <v>199812</v>
      </c>
      <c r="BU37" s="298">
        <v>0</v>
      </c>
      <c r="BV37" s="298">
        <v>-117021</v>
      </c>
      <c r="BW37" s="298">
        <v>298845</v>
      </c>
      <c r="BX37" s="298">
        <v>178345</v>
      </c>
      <c r="BY37" s="298">
        <v>-10508</v>
      </c>
      <c r="BZ37" s="298">
        <v>0</v>
      </c>
      <c r="CA37" s="298">
        <v>220488</v>
      </c>
      <c r="CB37" s="298">
        <v>0</v>
      </c>
      <c r="CC37" s="298">
        <v>5817777</v>
      </c>
      <c r="CD37" s="298">
        <v>911923</v>
      </c>
      <c r="CE37" s="298">
        <v>375964</v>
      </c>
      <c r="CF37" s="298">
        <v>-106744</v>
      </c>
      <c r="CG37" s="298">
        <v>331316</v>
      </c>
      <c r="CH37" s="298">
        <v>37092192</v>
      </c>
      <c r="CI37" s="298">
        <v>885950</v>
      </c>
      <c r="CJ37" s="298">
        <v>-90852</v>
      </c>
      <c r="CK37" s="298">
        <v>0</v>
      </c>
      <c r="CL37" s="298">
        <v>140013</v>
      </c>
      <c r="CM37" s="298">
        <v>709068</v>
      </c>
      <c r="CN37" s="298">
        <v>57889</v>
      </c>
      <c r="CO37" s="298">
        <v>336560</v>
      </c>
      <c r="CP37" s="298">
        <v>0</v>
      </c>
      <c r="CQ37" s="298">
        <v>0</v>
      </c>
    </row>
    <row r="38" spans="1:95" x14ac:dyDescent="0.3">
      <c r="A38" s="270">
        <v>51</v>
      </c>
      <c r="B38" s="270">
        <v>51</v>
      </c>
      <c r="C38" s="270" t="s">
        <v>246</v>
      </c>
      <c r="D38" s="270" t="s">
        <v>341</v>
      </c>
      <c r="E38" s="1112">
        <v>0</v>
      </c>
      <c r="F38" s="1112">
        <v>0</v>
      </c>
      <c r="G38" s="1112">
        <v>158656</v>
      </c>
      <c r="H38" s="1112">
        <v>208756</v>
      </c>
      <c r="I38" s="270">
        <v>332935</v>
      </c>
      <c r="J38" s="1112">
        <v>-8560</v>
      </c>
      <c r="K38" s="1112">
        <v>3915537</v>
      </c>
      <c r="L38" s="1112">
        <v>-103140</v>
      </c>
      <c r="M38" s="1112">
        <v>0</v>
      </c>
      <c r="N38" s="270">
        <v>15624</v>
      </c>
      <c r="O38" s="1112">
        <v>98580</v>
      </c>
      <c r="P38" s="270">
        <v>0</v>
      </c>
      <c r="Q38" s="1112">
        <v>8642</v>
      </c>
      <c r="R38" s="1112">
        <v>0</v>
      </c>
      <c r="S38" s="270">
        <v>0</v>
      </c>
      <c r="T38" s="1112">
        <v>0</v>
      </c>
      <c r="U38" s="1112">
        <v>4276744</v>
      </c>
      <c r="V38" s="1112">
        <v>0</v>
      </c>
      <c r="W38" s="1112">
        <v>22352</v>
      </c>
      <c r="X38" s="1112">
        <v>0</v>
      </c>
      <c r="Y38" s="1112">
        <v>175900</v>
      </c>
      <c r="Z38" s="270">
        <v>0</v>
      </c>
      <c r="AA38" s="1112">
        <v>1000361</v>
      </c>
      <c r="AB38" s="1112">
        <v>145372</v>
      </c>
      <c r="AC38" s="1112">
        <v>-114523</v>
      </c>
      <c r="AD38" s="1112">
        <v>42421</v>
      </c>
      <c r="AE38" s="1112">
        <v>5530620</v>
      </c>
      <c r="AF38" s="270">
        <v>0</v>
      </c>
      <c r="AG38" s="270">
        <v>293878</v>
      </c>
      <c r="AH38" s="1112">
        <v>0</v>
      </c>
      <c r="AI38" s="1112">
        <v>-22142</v>
      </c>
      <c r="AJ38" s="1112">
        <v>-423556</v>
      </c>
      <c r="AK38" s="1112">
        <v>467661</v>
      </c>
      <c r="AL38" s="270">
        <v>152489</v>
      </c>
      <c r="AM38" s="270">
        <v>0</v>
      </c>
      <c r="AN38" s="1112">
        <v>17840</v>
      </c>
      <c r="AO38" s="1112">
        <v>0</v>
      </c>
      <c r="AP38" s="1112">
        <v>831183</v>
      </c>
      <c r="AQ38" s="270">
        <v>-7475</v>
      </c>
      <c r="AR38" s="1112">
        <v>0</v>
      </c>
      <c r="AS38" s="1112">
        <v>0</v>
      </c>
      <c r="AT38" s="1112">
        <v>0</v>
      </c>
      <c r="AU38" s="1112">
        <v>0</v>
      </c>
      <c r="AV38" s="270">
        <v>-12875</v>
      </c>
      <c r="AW38" s="1112">
        <v>380551</v>
      </c>
      <c r="AX38" s="1112">
        <v>35916</v>
      </c>
      <c r="AY38" s="1112">
        <v>0</v>
      </c>
      <c r="AZ38" s="1112">
        <v>0</v>
      </c>
      <c r="BA38" s="270">
        <v>695855</v>
      </c>
      <c r="BB38" s="270">
        <v>0</v>
      </c>
      <c r="BC38" s="1112">
        <v>119304</v>
      </c>
      <c r="BD38" s="270">
        <v>108669</v>
      </c>
      <c r="BE38" s="1112">
        <v>20109</v>
      </c>
      <c r="BF38" s="1112">
        <v>-110321</v>
      </c>
      <c r="BG38" s="1112">
        <v>408940</v>
      </c>
      <c r="BH38" s="1112">
        <v>1709996</v>
      </c>
      <c r="BI38" s="1112">
        <v>0</v>
      </c>
      <c r="BJ38" s="1112">
        <v>0</v>
      </c>
      <c r="BK38" s="1112">
        <v>0</v>
      </c>
      <c r="BL38" s="270">
        <v>1061927</v>
      </c>
      <c r="BM38" s="1112">
        <v>1016901</v>
      </c>
      <c r="BN38" s="1112">
        <v>0</v>
      </c>
      <c r="BO38" s="1112">
        <v>0</v>
      </c>
      <c r="BP38" s="1112">
        <v>399994</v>
      </c>
      <c r="BQ38" s="1112">
        <v>0</v>
      </c>
      <c r="BR38" s="1112">
        <v>0</v>
      </c>
      <c r="BS38" s="270">
        <v>0</v>
      </c>
      <c r="BT38" s="298">
        <v>340031</v>
      </c>
      <c r="BU38" s="298">
        <v>0</v>
      </c>
      <c r="BV38" s="298">
        <v>-2474</v>
      </c>
      <c r="BW38" s="298">
        <v>405376</v>
      </c>
      <c r="BX38" s="298">
        <v>590496</v>
      </c>
      <c r="BY38" s="298">
        <v>5329</v>
      </c>
      <c r="BZ38" s="298">
        <v>0</v>
      </c>
      <c r="CA38" s="298">
        <v>809387</v>
      </c>
      <c r="CB38" s="298">
        <v>0</v>
      </c>
      <c r="CC38" s="298">
        <v>8911946</v>
      </c>
      <c r="CD38" s="298">
        <v>27000</v>
      </c>
      <c r="CE38" s="298">
        <v>281690</v>
      </c>
      <c r="CF38" s="298">
        <v>68195</v>
      </c>
      <c r="CG38" s="298">
        <v>508719</v>
      </c>
      <c r="CH38" s="298">
        <v>58257128</v>
      </c>
      <c r="CI38" s="298">
        <v>662680</v>
      </c>
      <c r="CJ38" s="298">
        <v>203831</v>
      </c>
      <c r="CK38" s="298">
        <v>0</v>
      </c>
      <c r="CL38" s="298">
        <v>74540</v>
      </c>
      <c r="CM38" s="298">
        <v>932943</v>
      </c>
      <c r="CN38" s="298">
        <v>639579</v>
      </c>
      <c r="CO38" s="298">
        <v>503770</v>
      </c>
      <c r="CP38" s="298">
        <v>0</v>
      </c>
      <c r="CQ38" s="298">
        <v>0</v>
      </c>
    </row>
    <row r="39" spans="1:95" x14ac:dyDescent="0.3">
      <c r="A39" s="270">
        <v>52</v>
      </c>
      <c r="B39" s="270">
        <v>52</v>
      </c>
      <c r="C39" s="270" t="s">
        <v>239</v>
      </c>
      <c r="D39" s="270" t="s">
        <v>342</v>
      </c>
      <c r="E39" s="270">
        <v>0</v>
      </c>
      <c r="F39" s="270">
        <v>0</v>
      </c>
      <c r="G39" s="270">
        <v>0</v>
      </c>
      <c r="H39" s="1112">
        <v>0</v>
      </c>
      <c r="I39" s="270">
        <v>69927</v>
      </c>
      <c r="J39" s="270">
        <v>0</v>
      </c>
      <c r="K39" s="270">
        <v>1380750</v>
      </c>
      <c r="L39" s="270">
        <v>0</v>
      </c>
      <c r="M39" s="1112">
        <v>0</v>
      </c>
      <c r="N39" s="270">
        <v>0</v>
      </c>
      <c r="O39" s="270">
        <v>0</v>
      </c>
      <c r="P39" s="270">
        <v>0</v>
      </c>
      <c r="Q39" s="270">
        <v>0</v>
      </c>
      <c r="R39" s="270">
        <v>0</v>
      </c>
      <c r="S39" s="270">
        <v>0</v>
      </c>
      <c r="T39" s="270">
        <v>0</v>
      </c>
      <c r="U39" s="270">
        <v>0</v>
      </c>
      <c r="V39" s="270">
        <v>0</v>
      </c>
      <c r="W39" s="270">
        <v>0</v>
      </c>
      <c r="X39" s="270">
        <v>0</v>
      </c>
      <c r="Y39" s="1112">
        <v>0</v>
      </c>
      <c r="Z39" s="270">
        <v>0</v>
      </c>
      <c r="AA39" s="270">
        <v>1696211</v>
      </c>
      <c r="AB39" s="270">
        <v>0</v>
      </c>
      <c r="AC39" s="270">
        <v>0</v>
      </c>
      <c r="AD39" s="270">
        <v>0</v>
      </c>
      <c r="AE39" s="270">
        <v>0</v>
      </c>
      <c r="AF39" s="270">
        <v>0</v>
      </c>
      <c r="AG39" s="270">
        <v>0</v>
      </c>
      <c r="AH39" s="270">
        <v>0</v>
      </c>
      <c r="AI39" s="270">
        <v>0</v>
      </c>
      <c r="AJ39" s="1112">
        <v>0</v>
      </c>
      <c r="AK39" s="270">
        <v>0</v>
      </c>
      <c r="AL39" s="270">
        <v>0</v>
      </c>
      <c r="AM39" s="270">
        <v>0</v>
      </c>
      <c r="AN39" s="1112">
        <v>0</v>
      </c>
      <c r="AO39" s="270">
        <v>0</v>
      </c>
      <c r="AP39" s="270">
        <v>0</v>
      </c>
      <c r="AQ39" s="270">
        <v>0</v>
      </c>
      <c r="AR39" s="270">
        <v>0</v>
      </c>
      <c r="AS39" s="270">
        <v>0</v>
      </c>
      <c r="AT39" s="270">
        <v>0</v>
      </c>
      <c r="AU39" s="270">
        <v>0</v>
      </c>
      <c r="AV39" s="270">
        <v>0</v>
      </c>
      <c r="AW39" s="270">
        <v>0</v>
      </c>
      <c r="AX39" s="270">
        <v>0</v>
      </c>
      <c r="AY39" s="270">
        <v>1364634</v>
      </c>
      <c r="AZ39" s="270">
        <v>0</v>
      </c>
      <c r="BA39" s="270">
        <v>0</v>
      </c>
      <c r="BB39" s="270">
        <v>0</v>
      </c>
      <c r="BC39" s="270">
        <v>0</v>
      </c>
      <c r="BD39" s="270">
        <v>0</v>
      </c>
      <c r="BE39" s="270">
        <v>5073</v>
      </c>
      <c r="BF39" s="270">
        <v>0</v>
      </c>
      <c r="BG39" s="270">
        <v>0</v>
      </c>
      <c r="BH39" s="1112">
        <v>1065197</v>
      </c>
      <c r="BI39" s="270">
        <v>0</v>
      </c>
      <c r="BJ39" s="270">
        <v>0</v>
      </c>
      <c r="BK39" s="270">
        <v>0</v>
      </c>
      <c r="BL39" s="270">
        <v>270541</v>
      </c>
      <c r="BM39" s="270">
        <v>0</v>
      </c>
      <c r="BN39" s="270">
        <v>0</v>
      </c>
      <c r="BO39" s="270">
        <v>0</v>
      </c>
      <c r="BP39" s="270">
        <v>0</v>
      </c>
      <c r="BQ39" s="270">
        <v>0</v>
      </c>
      <c r="BR39" s="270">
        <v>0</v>
      </c>
      <c r="BS39" s="270">
        <v>0</v>
      </c>
      <c r="BT39" s="298">
        <v>0</v>
      </c>
      <c r="BU39" s="298">
        <v>0</v>
      </c>
      <c r="BV39" s="298">
        <v>0</v>
      </c>
      <c r="BW39" s="298">
        <v>0</v>
      </c>
      <c r="BX39" s="298">
        <v>0</v>
      </c>
      <c r="BY39" s="298">
        <v>0</v>
      </c>
      <c r="BZ39" s="298">
        <v>0</v>
      </c>
      <c r="CA39" s="298">
        <v>0</v>
      </c>
      <c r="CB39" s="298">
        <v>0</v>
      </c>
      <c r="CC39" s="298">
        <v>5922948</v>
      </c>
      <c r="CD39" s="298">
        <v>0</v>
      </c>
      <c r="CE39" s="298">
        <v>154117</v>
      </c>
      <c r="CF39" s="298">
        <v>0</v>
      </c>
      <c r="CG39" s="298">
        <v>0</v>
      </c>
      <c r="CH39" s="298">
        <v>0</v>
      </c>
      <c r="CI39" s="298">
        <v>324540</v>
      </c>
      <c r="CJ39" s="298">
        <v>0</v>
      </c>
      <c r="CK39" s="298">
        <v>0</v>
      </c>
      <c r="CL39" s="298">
        <v>0</v>
      </c>
      <c r="CM39" s="298">
        <v>0</v>
      </c>
      <c r="CN39" s="298">
        <v>0</v>
      </c>
      <c r="CO39" s="298">
        <v>0</v>
      </c>
      <c r="CP39" s="298">
        <v>0</v>
      </c>
      <c r="CQ39" s="298">
        <v>0</v>
      </c>
    </row>
    <row r="40" spans="1:95" x14ac:dyDescent="0.3">
      <c r="A40" s="270">
        <v>53</v>
      </c>
      <c r="B40" s="270">
        <v>53</v>
      </c>
      <c r="C40" s="270" t="s">
        <v>101</v>
      </c>
      <c r="D40" s="270" t="s">
        <v>343</v>
      </c>
      <c r="E40" s="270">
        <v>0</v>
      </c>
      <c r="F40" s="270">
        <v>0</v>
      </c>
      <c r="G40" s="270">
        <v>0</v>
      </c>
      <c r="H40" s="1112">
        <v>0</v>
      </c>
      <c r="I40" s="270">
        <v>300311</v>
      </c>
      <c r="J40" s="270">
        <v>0</v>
      </c>
      <c r="K40" s="270">
        <v>8803508</v>
      </c>
      <c r="L40" s="270">
        <v>0</v>
      </c>
      <c r="M40" s="1112">
        <v>0</v>
      </c>
      <c r="N40" s="270">
        <v>0</v>
      </c>
      <c r="O40" s="270">
        <v>0</v>
      </c>
      <c r="P40" s="270">
        <v>0</v>
      </c>
      <c r="Q40" s="270">
        <v>0</v>
      </c>
      <c r="R40" s="270">
        <v>0</v>
      </c>
      <c r="S40" s="270">
        <v>0</v>
      </c>
      <c r="T40" s="270">
        <v>0</v>
      </c>
      <c r="U40" s="270">
        <v>0</v>
      </c>
      <c r="V40" s="270">
        <v>0</v>
      </c>
      <c r="W40" s="270">
        <v>0</v>
      </c>
      <c r="X40" s="270">
        <v>0</v>
      </c>
      <c r="Y40" s="1112">
        <v>0</v>
      </c>
      <c r="Z40" s="270">
        <v>0</v>
      </c>
      <c r="AA40" s="270">
        <v>-1720990</v>
      </c>
      <c r="AB40" s="270">
        <v>0</v>
      </c>
      <c r="AC40" s="270">
        <v>0</v>
      </c>
      <c r="AD40" s="270">
        <v>0</v>
      </c>
      <c r="AE40" s="270">
        <v>0</v>
      </c>
      <c r="AF40" s="270">
        <v>0</v>
      </c>
      <c r="AG40" s="270">
        <v>0</v>
      </c>
      <c r="AH40" s="270">
        <v>0</v>
      </c>
      <c r="AI40" s="270">
        <v>0</v>
      </c>
      <c r="AJ40" s="1112">
        <v>0</v>
      </c>
      <c r="AK40" s="270">
        <v>0</v>
      </c>
      <c r="AL40" s="270">
        <v>0</v>
      </c>
      <c r="AM40" s="270">
        <v>0</v>
      </c>
      <c r="AN40" s="1112">
        <v>0</v>
      </c>
      <c r="AO40" s="270">
        <v>0</v>
      </c>
      <c r="AP40" s="270">
        <v>0</v>
      </c>
      <c r="AQ40" s="270">
        <v>0</v>
      </c>
      <c r="AR40" s="270">
        <v>0</v>
      </c>
      <c r="AS40" s="270">
        <v>0</v>
      </c>
      <c r="AT40" s="270">
        <v>0</v>
      </c>
      <c r="AU40" s="270">
        <v>0</v>
      </c>
      <c r="AV40" s="270">
        <v>0</v>
      </c>
      <c r="AW40" s="270">
        <v>0</v>
      </c>
      <c r="AX40" s="270">
        <v>0</v>
      </c>
      <c r="AY40" s="270">
        <v>1471846</v>
      </c>
      <c r="AZ40" s="270">
        <v>0</v>
      </c>
      <c r="BA40" s="270">
        <v>0</v>
      </c>
      <c r="BB40" s="270">
        <v>0</v>
      </c>
      <c r="BC40" s="270">
        <v>0</v>
      </c>
      <c r="BD40" s="270">
        <v>0</v>
      </c>
      <c r="BE40" s="270">
        <v>53244</v>
      </c>
      <c r="BF40" s="270">
        <v>0</v>
      </c>
      <c r="BG40" s="270">
        <v>0</v>
      </c>
      <c r="BH40" s="1112">
        <v>3722543</v>
      </c>
      <c r="BI40" s="270">
        <v>0</v>
      </c>
      <c r="BJ40" s="270">
        <v>0</v>
      </c>
      <c r="BK40" s="270">
        <v>0</v>
      </c>
      <c r="BL40" s="270">
        <v>890952</v>
      </c>
      <c r="BM40" s="270">
        <v>0</v>
      </c>
      <c r="BN40" s="270">
        <v>0</v>
      </c>
      <c r="BO40" s="270">
        <v>0</v>
      </c>
      <c r="BP40" s="270">
        <v>0</v>
      </c>
      <c r="BQ40" s="270">
        <v>0</v>
      </c>
      <c r="BR40" s="270">
        <v>0</v>
      </c>
      <c r="BS40" s="270">
        <v>0</v>
      </c>
      <c r="BT40" s="298">
        <v>0</v>
      </c>
      <c r="BU40" s="298">
        <v>0</v>
      </c>
      <c r="BV40" s="298">
        <v>0</v>
      </c>
      <c r="BW40" s="298">
        <v>0</v>
      </c>
      <c r="BX40" s="298">
        <v>0</v>
      </c>
      <c r="BY40" s="298">
        <v>0</v>
      </c>
      <c r="BZ40" s="298">
        <v>0</v>
      </c>
      <c r="CA40" s="298">
        <v>0</v>
      </c>
      <c r="CB40" s="298">
        <v>0</v>
      </c>
      <c r="CC40" s="298">
        <v>5558562</v>
      </c>
      <c r="CD40" s="298">
        <v>0</v>
      </c>
      <c r="CE40" s="298">
        <v>205849</v>
      </c>
      <c r="CF40" s="298">
        <v>0</v>
      </c>
      <c r="CG40" s="298">
        <v>0</v>
      </c>
      <c r="CH40" s="298">
        <v>0</v>
      </c>
      <c r="CI40" s="298">
        <v>675006</v>
      </c>
      <c r="CJ40" s="298">
        <v>0</v>
      </c>
      <c r="CK40" s="298">
        <v>0</v>
      </c>
      <c r="CL40" s="298">
        <v>0</v>
      </c>
      <c r="CM40" s="298">
        <v>0</v>
      </c>
      <c r="CN40" s="298">
        <v>0</v>
      </c>
      <c r="CO40" s="298">
        <v>0</v>
      </c>
      <c r="CP40" s="298">
        <v>0</v>
      </c>
      <c r="CQ40" s="298">
        <v>0</v>
      </c>
    </row>
    <row r="41" spans="1:95" x14ac:dyDescent="0.3">
      <c r="A41" s="270"/>
      <c r="B41" s="270">
        <v>54</v>
      </c>
      <c r="C41" s="270" t="s">
        <v>630</v>
      </c>
      <c r="D41" s="270" t="s">
        <v>344</v>
      </c>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c r="BQ41" s="270"/>
      <c r="BR41" s="270"/>
      <c r="BS41" s="270"/>
    </row>
    <row r="42" spans="1:95" x14ac:dyDescent="0.3">
      <c r="A42" s="270">
        <v>55</v>
      </c>
      <c r="B42" s="270">
        <v>55</v>
      </c>
      <c r="C42" s="270" t="s">
        <v>249</v>
      </c>
      <c r="D42" s="270" t="s">
        <v>345</v>
      </c>
      <c r="E42" s="270">
        <v>0</v>
      </c>
      <c r="F42" s="270">
        <v>0</v>
      </c>
      <c r="G42" s="270">
        <v>0</v>
      </c>
      <c r="H42" s="1112">
        <v>0</v>
      </c>
      <c r="I42" s="270">
        <v>550994</v>
      </c>
      <c r="J42" s="270">
        <v>0</v>
      </c>
      <c r="K42" s="270">
        <v>1573631</v>
      </c>
      <c r="L42" s="270">
        <v>0</v>
      </c>
      <c r="M42" s="1112">
        <v>0</v>
      </c>
      <c r="N42" s="270">
        <v>0</v>
      </c>
      <c r="O42" s="270">
        <v>0</v>
      </c>
      <c r="P42" s="270">
        <v>0</v>
      </c>
      <c r="Q42" s="270">
        <v>0</v>
      </c>
      <c r="R42" s="270">
        <v>0</v>
      </c>
      <c r="S42" s="270">
        <v>0</v>
      </c>
      <c r="T42" s="270">
        <v>0</v>
      </c>
      <c r="U42" s="270">
        <v>0</v>
      </c>
      <c r="V42" s="270">
        <v>0</v>
      </c>
      <c r="W42" s="270">
        <v>0</v>
      </c>
      <c r="X42" s="270">
        <v>0</v>
      </c>
      <c r="Y42" s="1112">
        <v>0</v>
      </c>
      <c r="Z42" s="270">
        <v>0</v>
      </c>
      <c r="AA42" s="270">
        <v>2435495</v>
      </c>
      <c r="AB42" s="270">
        <v>0</v>
      </c>
      <c r="AC42" s="270">
        <v>0</v>
      </c>
      <c r="AD42" s="270">
        <v>0</v>
      </c>
      <c r="AE42" s="270">
        <v>0</v>
      </c>
      <c r="AF42" s="270">
        <v>0</v>
      </c>
      <c r="AG42" s="270">
        <v>0</v>
      </c>
      <c r="AH42" s="270">
        <v>0</v>
      </c>
      <c r="AI42" s="270">
        <v>0</v>
      </c>
      <c r="AJ42" s="1112">
        <v>0</v>
      </c>
      <c r="AK42" s="270">
        <v>0</v>
      </c>
      <c r="AL42" s="270">
        <v>0</v>
      </c>
      <c r="AM42" s="270">
        <v>0</v>
      </c>
      <c r="AN42" s="1112">
        <v>0</v>
      </c>
      <c r="AO42" s="270">
        <v>0</v>
      </c>
      <c r="AP42" s="270">
        <v>0</v>
      </c>
      <c r="AQ42" s="270">
        <v>0</v>
      </c>
      <c r="AR42" s="270">
        <v>0</v>
      </c>
      <c r="AS42" s="270">
        <v>0</v>
      </c>
      <c r="AT42" s="270">
        <v>0</v>
      </c>
      <c r="AU42" s="270">
        <v>0</v>
      </c>
      <c r="AV42" s="270">
        <v>0</v>
      </c>
      <c r="AW42" s="270">
        <v>0</v>
      </c>
      <c r="AX42" s="270">
        <v>0</v>
      </c>
      <c r="AY42" s="270">
        <v>3290898</v>
      </c>
      <c r="AZ42" s="270">
        <v>0</v>
      </c>
      <c r="BA42" s="270">
        <v>0</v>
      </c>
      <c r="BB42" s="270">
        <v>0</v>
      </c>
      <c r="BC42" s="270">
        <v>0</v>
      </c>
      <c r="BD42" s="270">
        <v>0</v>
      </c>
      <c r="BE42" s="270">
        <v>56854</v>
      </c>
      <c r="BF42" s="270">
        <v>0</v>
      </c>
      <c r="BG42" s="270">
        <v>0</v>
      </c>
      <c r="BH42" s="1112">
        <v>5315675</v>
      </c>
      <c r="BI42" s="270">
        <v>0</v>
      </c>
      <c r="BJ42" s="270">
        <v>0</v>
      </c>
      <c r="BK42" s="270">
        <v>0</v>
      </c>
      <c r="BL42" s="270">
        <v>2504293</v>
      </c>
      <c r="BM42" s="270">
        <v>0</v>
      </c>
      <c r="BN42" s="270">
        <v>0</v>
      </c>
      <c r="BO42" s="270">
        <v>0</v>
      </c>
      <c r="BP42" s="270">
        <v>0</v>
      </c>
      <c r="BQ42" s="270">
        <v>0</v>
      </c>
      <c r="BR42" s="270">
        <v>0</v>
      </c>
      <c r="BS42" s="270">
        <v>0</v>
      </c>
      <c r="BT42" s="298">
        <v>0</v>
      </c>
      <c r="BU42" s="298">
        <v>0</v>
      </c>
      <c r="BV42" s="298">
        <v>0</v>
      </c>
      <c r="BW42" s="298">
        <v>0</v>
      </c>
      <c r="BX42" s="298">
        <v>0</v>
      </c>
      <c r="BY42" s="298">
        <v>0</v>
      </c>
      <c r="BZ42" s="298">
        <v>0</v>
      </c>
      <c r="CA42" s="298">
        <v>0</v>
      </c>
      <c r="CB42" s="298">
        <v>0</v>
      </c>
      <c r="CC42" s="298">
        <v>17008835</v>
      </c>
      <c r="CD42" s="298">
        <v>0</v>
      </c>
      <c r="CE42" s="298">
        <v>1436157</v>
      </c>
      <c r="CF42" s="298">
        <v>0</v>
      </c>
      <c r="CG42" s="298">
        <v>0</v>
      </c>
      <c r="CH42" s="298">
        <v>0</v>
      </c>
      <c r="CI42" s="298">
        <v>1260299</v>
      </c>
      <c r="CJ42" s="298">
        <v>0</v>
      </c>
      <c r="CK42" s="298">
        <v>0</v>
      </c>
      <c r="CL42" s="298">
        <v>0</v>
      </c>
      <c r="CM42" s="298">
        <v>0</v>
      </c>
      <c r="CN42" s="298">
        <v>0</v>
      </c>
      <c r="CO42" s="298">
        <v>0</v>
      </c>
      <c r="CP42" s="298">
        <v>0</v>
      </c>
      <c r="CQ42" s="298">
        <v>0</v>
      </c>
    </row>
    <row r="43" spans="1:95" x14ac:dyDescent="0.3">
      <c r="A43" s="270">
        <v>61</v>
      </c>
      <c r="B43" s="270">
        <v>61</v>
      </c>
      <c r="C43" s="270" t="s">
        <v>267</v>
      </c>
      <c r="D43" s="270" t="s">
        <v>346</v>
      </c>
      <c r="E43" s="270">
        <v>98.51</v>
      </c>
      <c r="F43" s="270">
        <v>99.81</v>
      </c>
      <c r="G43" s="270">
        <v>98.29</v>
      </c>
      <c r="H43" s="270">
        <v>99.27</v>
      </c>
      <c r="I43" s="270">
        <v>96.78</v>
      </c>
      <c r="J43" s="270">
        <v>95.9</v>
      </c>
      <c r="K43" s="270">
        <v>98.71</v>
      </c>
      <c r="L43" s="270">
        <v>99.51</v>
      </c>
      <c r="M43" s="270">
        <v>99.5</v>
      </c>
      <c r="N43" s="270">
        <v>0</v>
      </c>
      <c r="O43" s="270">
        <v>99.05</v>
      </c>
      <c r="P43" s="270">
        <v>96</v>
      </c>
      <c r="Q43" s="270">
        <v>96.52</v>
      </c>
      <c r="R43" s="270">
        <v>98.79</v>
      </c>
      <c r="S43" s="270">
        <v>99.6</v>
      </c>
      <c r="T43" s="270">
        <v>99.32</v>
      </c>
      <c r="U43" s="270">
        <v>97.73</v>
      </c>
      <c r="V43" s="270">
        <v>99.41</v>
      </c>
      <c r="W43" s="270">
        <v>0</v>
      </c>
      <c r="X43" s="270">
        <v>97.88</v>
      </c>
      <c r="Y43" s="270">
        <v>96.09</v>
      </c>
      <c r="Z43" s="270">
        <v>88.38</v>
      </c>
      <c r="AA43" s="270">
        <v>96.63</v>
      </c>
      <c r="AB43" s="270">
        <v>98.17</v>
      </c>
      <c r="AC43" s="270">
        <v>99.61</v>
      </c>
      <c r="AD43" s="270">
        <v>94.88</v>
      </c>
      <c r="AE43" s="270">
        <v>96.81</v>
      </c>
      <c r="AF43" s="270">
        <v>99.22</v>
      </c>
      <c r="AG43" s="270">
        <v>99.51</v>
      </c>
      <c r="AH43" s="270">
        <v>99.96</v>
      </c>
      <c r="AI43" s="270">
        <v>96.15</v>
      </c>
      <c r="AJ43" s="270">
        <v>99.24</v>
      </c>
      <c r="AK43" s="270">
        <v>100</v>
      </c>
      <c r="AL43" s="270">
        <v>97.71</v>
      </c>
      <c r="AM43" s="270">
        <v>0</v>
      </c>
      <c r="AN43" s="270">
        <v>98.65</v>
      </c>
      <c r="AO43" s="270">
        <v>98.12</v>
      </c>
      <c r="AP43" s="270">
        <v>96.33</v>
      </c>
      <c r="AQ43" s="270">
        <v>97.79</v>
      </c>
      <c r="AR43" s="270">
        <v>96.1</v>
      </c>
      <c r="AS43" s="270">
        <v>96.51</v>
      </c>
      <c r="AT43" s="270">
        <v>99.24</v>
      </c>
      <c r="AU43" s="270">
        <v>97.75</v>
      </c>
      <c r="AV43" s="270">
        <v>98.24</v>
      </c>
      <c r="AW43" s="270">
        <v>94.36</v>
      </c>
      <c r="AX43" s="270">
        <v>89.75</v>
      </c>
      <c r="AY43" s="270">
        <v>99.84</v>
      </c>
      <c r="AZ43" s="270">
        <v>99.02</v>
      </c>
      <c r="BA43" s="270">
        <v>93.96</v>
      </c>
      <c r="BB43" s="270">
        <v>98.11</v>
      </c>
      <c r="BC43" s="270">
        <v>97.06</v>
      </c>
      <c r="BD43" s="270">
        <v>99.9</v>
      </c>
      <c r="BE43" s="270">
        <v>98.64</v>
      </c>
      <c r="BF43" s="270">
        <v>97.18</v>
      </c>
      <c r="BG43" s="270">
        <v>96.91</v>
      </c>
      <c r="BH43" s="270">
        <v>98.25</v>
      </c>
      <c r="BI43" s="270">
        <v>98.51</v>
      </c>
      <c r="BJ43" s="270">
        <v>95.9</v>
      </c>
      <c r="BK43" s="270">
        <v>99.71</v>
      </c>
      <c r="BL43" s="270">
        <v>96.92</v>
      </c>
      <c r="BM43" s="270">
        <v>99.71</v>
      </c>
      <c r="BN43" s="270">
        <v>98.72</v>
      </c>
      <c r="BO43" s="270">
        <v>99.38</v>
      </c>
      <c r="BP43" s="270">
        <v>96.22</v>
      </c>
      <c r="BQ43" s="270">
        <v>99.75</v>
      </c>
      <c r="BR43" s="270">
        <v>0</v>
      </c>
      <c r="BS43" s="270">
        <v>99.67</v>
      </c>
      <c r="BT43" s="298">
        <v>97.47</v>
      </c>
      <c r="BU43" s="298">
        <v>99.96</v>
      </c>
      <c r="BV43" s="298">
        <v>95.3</v>
      </c>
      <c r="BW43" s="298">
        <v>98.13</v>
      </c>
      <c r="BX43" s="298">
        <v>98.98</v>
      </c>
      <c r="BY43" s="298">
        <v>98.04</v>
      </c>
      <c r="BZ43" s="298">
        <v>0</v>
      </c>
      <c r="CA43" s="298">
        <v>93.2</v>
      </c>
      <c r="CB43" s="298">
        <v>99.26</v>
      </c>
      <c r="CC43" s="298">
        <v>98.27</v>
      </c>
      <c r="CD43" s="298">
        <v>99.98</v>
      </c>
      <c r="CE43" s="298">
        <v>97.84</v>
      </c>
      <c r="CF43" s="298">
        <v>95.31</v>
      </c>
      <c r="CG43" s="298">
        <v>99.32</v>
      </c>
      <c r="CH43" s="298">
        <v>99.3</v>
      </c>
      <c r="CI43" s="298">
        <v>98.87</v>
      </c>
      <c r="CJ43" s="298">
        <v>95.5</v>
      </c>
      <c r="CK43" s="298">
        <v>99.76</v>
      </c>
      <c r="CL43" s="298">
        <v>89.49</v>
      </c>
      <c r="CM43" s="298">
        <v>99.69</v>
      </c>
      <c r="CN43" s="298">
        <v>98.18</v>
      </c>
      <c r="CO43" s="298">
        <v>97.96</v>
      </c>
      <c r="CP43" s="298">
        <v>97.27</v>
      </c>
      <c r="CQ43" s="298">
        <v>99.6</v>
      </c>
    </row>
    <row r="44" spans="1:95" x14ac:dyDescent="0.3">
      <c r="A44" s="270">
        <v>80</v>
      </c>
      <c r="B44" s="270">
        <v>80</v>
      </c>
      <c r="C44" s="270" t="s">
        <v>218</v>
      </c>
      <c r="D44" s="270" t="s">
        <v>347</v>
      </c>
      <c r="E44" s="1112">
        <v>0</v>
      </c>
      <c r="F44" s="1112">
        <v>0</v>
      </c>
      <c r="G44" s="1112">
        <v>523645</v>
      </c>
      <c r="H44" s="1112">
        <v>1085826</v>
      </c>
      <c r="I44" s="270">
        <v>1898068</v>
      </c>
      <c r="J44" s="1112">
        <v>62494</v>
      </c>
      <c r="K44" s="1112">
        <v>18155946</v>
      </c>
      <c r="L44" s="1112">
        <v>510167</v>
      </c>
      <c r="M44" s="1112">
        <v>0</v>
      </c>
      <c r="N44" s="270">
        <v>1375026</v>
      </c>
      <c r="O44" s="1112">
        <v>193592</v>
      </c>
      <c r="P44" s="270">
        <v>0</v>
      </c>
      <c r="Q44" s="1112">
        <v>37486</v>
      </c>
      <c r="R44" s="1112">
        <v>0</v>
      </c>
      <c r="S44" s="270">
        <v>0</v>
      </c>
      <c r="T44" s="1112">
        <v>0</v>
      </c>
      <c r="U44" s="1112">
        <v>4961609</v>
      </c>
      <c r="V44" s="1112">
        <v>0</v>
      </c>
      <c r="W44" s="1112">
        <v>2324446</v>
      </c>
      <c r="X44" s="1112">
        <v>0</v>
      </c>
      <c r="Y44" s="1112">
        <v>2084765</v>
      </c>
      <c r="Z44" s="270">
        <v>0</v>
      </c>
      <c r="AA44" s="1112">
        <v>2278636</v>
      </c>
      <c r="AB44" s="1112">
        <v>1972054</v>
      </c>
      <c r="AC44" s="1112">
        <v>84911</v>
      </c>
      <c r="AD44" s="1112">
        <v>184630</v>
      </c>
      <c r="AE44" s="1112">
        <v>8558707</v>
      </c>
      <c r="AF44" s="270">
        <v>0</v>
      </c>
      <c r="AG44" s="270">
        <v>1921021</v>
      </c>
      <c r="AH44" s="1112">
        <v>0</v>
      </c>
      <c r="AI44" s="1112">
        <v>535472</v>
      </c>
      <c r="AJ44" s="270">
        <v>1448296</v>
      </c>
      <c r="AK44" s="1112">
        <v>640226</v>
      </c>
      <c r="AL44" s="270">
        <v>580129</v>
      </c>
      <c r="AM44" s="270">
        <v>0</v>
      </c>
      <c r="AN44" s="1112">
        <v>55584</v>
      </c>
      <c r="AO44" s="1112">
        <v>0</v>
      </c>
      <c r="AP44" s="1112">
        <v>811332</v>
      </c>
      <c r="AQ44" s="270">
        <v>498945</v>
      </c>
      <c r="AR44" s="270">
        <v>0</v>
      </c>
      <c r="AS44" s="1112">
        <v>0</v>
      </c>
      <c r="AT44" s="1112">
        <v>0</v>
      </c>
      <c r="AU44" s="1112">
        <v>0</v>
      </c>
      <c r="AV44" s="270">
        <v>256105</v>
      </c>
      <c r="AW44" s="1112">
        <v>2496968</v>
      </c>
      <c r="AX44" s="1112">
        <v>381697</v>
      </c>
      <c r="AY44" s="1112">
        <v>0</v>
      </c>
      <c r="AZ44" s="1112">
        <v>0</v>
      </c>
      <c r="BA44" s="270">
        <v>2093348</v>
      </c>
      <c r="BB44" s="1112">
        <v>0</v>
      </c>
      <c r="BC44" s="1112">
        <v>1316184</v>
      </c>
      <c r="BD44" s="270">
        <v>948631</v>
      </c>
      <c r="BE44" s="270">
        <v>116375</v>
      </c>
      <c r="BF44" s="1112">
        <v>401682</v>
      </c>
      <c r="BG44" s="1112">
        <v>1920398</v>
      </c>
      <c r="BH44" s="1112">
        <v>6657532</v>
      </c>
      <c r="BI44" s="1112">
        <v>0</v>
      </c>
      <c r="BJ44" s="1112">
        <v>0</v>
      </c>
      <c r="BK44" s="1112">
        <v>0</v>
      </c>
      <c r="BL44" s="270">
        <v>4515241</v>
      </c>
      <c r="BM44" s="1112">
        <v>3241435</v>
      </c>
      <c r="BN44" s="1112">
        <v>0</v>
      </c>
      <c r="BO44" s="1112">
        <v>0</v>
      </c>
      <c r="BP44" s="1112">
        <v>2031779</v>
      </c>
      <c r="BQ44" s="1112">
        <v>0</v>
      </c>
      <c r="BR44" s="1112">
        <v>0</v>
      </c>
      <c r="BS44" s="270">
        <v>0</v>
      </c>
      <c r="BT44" s="298">
        <v>1214322</v>
      </c>
      <c r="BU44" s="298">
        <v>0</v>
      </c>
      <c r="BV44" s="298">
        <v>250051</v>
      </c>
      <c r="BW44" s="298">
        <v>1776134</v>
      </c>
      <c r="BX44" s="298">
        <v>2599612</v>
      </c>
      <c r="BY44" s="298">
        <v>97219</v>
      </c>
      <c r="BZ44" s="298">
        <v>0</v>
      </c>
      <c r="CA44" s="298">
        <v>7454107</v>
      </c>
      <c r="CB44" s="298">
        <v>0</v>
      </c>
      <c r="CC44" s="298">
        <v>18595178</v>
      </c>
      <c r="CD44" s="298">
        <v>9632</v>
      </c>
      <c r="CE44" s="298">
        <v>1168730</v>
      </c>
      <c r="CF44" s="298">
        <v>59010</v>
      </c>
      <c r="CG44" s="298">
        <v>788110</v>
      </c>
      <c r="CH44" s="298">
        <v>74464226</v>
      </c>
      <c r="CI44" s="298">
        <v>1135085</v>
      </c>
      <c r="CJ44" s="298">
        <v>997208</v>
      </c>
      <c r="CK44" s="298">
        <v>0</v>
      </c>
      <c r="CL44" s="298">
        <v>479348</v>
      </c>
      <c r="CM44" s="298">
        <v>7646563</v>
      </c>
      <c r="CN44" s="298">
        <v>2912272</v>
      </c>
      <c r="CO44" s="298">
        <v>1890688</v>
      </c>
      <c r="CP44" s="298">
        <v>0</v>
      </c>
      <c r="CQ44" s="298">
        <v>0</v>
      </c>
    </row>
    <row r="45" spans="1:95" x14ac:dyDescent="0.3">
      <c r="A45" s="270">
        <v>81</v>
      </c>
      <c r="B45" s="270">
        <v>81</v>
      </c>
      <c r="C45" s="270" t="s">
        <v>219</v>
      </c>
      <c r="D45" s="270" t="s">
        <v>348</v>
      </c>
      <c r="E45" s="1112">
        <v>0</v>
      </c>
      <c r="F45" s="1112">
        <v>0</v>
      </c>
      <c r="G45" s="1112">
        <v>30981</v>
      </c>
      <c r="H45" s="1112">
        <v>305660</v>
      </c>
      <c r="I45" s="270">
        <v>107039</v>
      </c>
      <c r="J45" s="1112">
        <v>111653</v>
      </c>
      <c r="K45" s="1112">
        <v>1976288</v>
      </c>
      <c r="L45" s="1112">
        <v>215548</v>
      </c>
      <c r="M45" s="1112">
        <v>0</v>
      </c>
      <c r="N45" s="270">
        <v>34455</v>
      </c>
      <c r="O45" s="1112">
        <v>84175</v>
      </c>
      <c r="P45" s="270">
        <v>0</v>
      </c>
      <c r="Q45" s="1112">
        <v>47108</v>
      </c>
      <c r="R45" s="1112">
        <v>0</v>
      </c>
      <c r="S45" s="270">
        <v>0</v>
      </c>
      <c r="T45" s="1112">
        <v>0</v>
      </c>
      <c r="U45" s="1112">
        <v>734083</v>
      </c>
      <c r="V45" s="1112">
        <v>0</v>
      </c>
      <c r="W45" s="1112">
        <v>130191</v>
      </c>
      <c r="X45" s="1112">
        <v>0</v>
      </c>
      <c r="Y45" s="1112">
        <v>132587</v>
      </c>
      <c r="Z45" s="270">
        <v>0</v>
      </c>
      <c r="AA45" s="1112">
        <v>794626</v>
      </c>
      <c r="AB45" s="1112">
        <v>354749</v>
      </c>
      <c r="AC45" s="1112">
        <v>12525</v>
      </c>
      <c r="AD45" s="1112">
        <v>18037</v>
      </c>
      <c r="AE45" s="1112">
        <v>2095320</v>
      </c>
      <c r="AF45" s="270">
        <v>0</v>
      </c>
      <c r="AG45" s="270">
        <v>246288</v>
      </c>
      <c r="AH45" s="1112">
        <v>0</v>
      </c>
      <c r="AI45" s="1112">
        <v>12350</v>
      </c>
      <c r="AJ45" s="1112">
        <v>84621</v>
      </c>
      <c r="AK45" s="1112">
        <v>251809</v>
      </c>
      <c r="AL45" s="270">
        <v>346701</v>
      </c>
      <c r="AM45" s="270">
        <v>0</v>
      </c>
      <c r="AN45" s="1112">
        <v>7057</v>
      </c>
      <c r="AO45" s="270">
        <v>0</v>
      </c>
      <c r="AP45" s="1112">
        <v>552754</v>
      </c>
      <c r="AQ45" s="270">
        <v>38487</v>
      </c>
      <c r="AR45" s="1112">
        <v>0</v>
      </c>
      <c r="AS45" s="1112">
        <v>0</v>
      </c>
      <c r="AT45" s="1112">
        <v>0</v>
      </c>
      <c r="AU45" s="1112">
        <v>0</v>
      </c>
      <c r="AV45" s="270">
        <v>15286</v>
      </c>
      <c r="AW45" s="1112">
        <v>292194</v>
      </c>
      <c r="AX45" s="1112">
        <v>15603</v>
      </c>
      <c r="AY45" s="1112">
        <v>0</v>
      </c>
      <c r="AZ45" s="1112">
        <v>0</v>
      </c>
      <c r="BA45" s="270">
        <v>475392</v>
      </c>
      <c r="BB45" s="270">
        <v>0</v>
      </c>
      <c r="BC45" s="1112">
        <v>231703</v>
      </c>
      <c r="BD45" s="270">
        <v>89795</v>
      </c>
      <c r="BE45" s="1112">
        <v>15296</v>
      </c>
      <c r="BF45" s="1112">
        <v>92183</v>
      </c>
      <c r="BG45" s="1112">
        <v>189931</v>
      </c>
      <c r="BH45" s="1112">
        <v>1019928</v>
      </c>
      <c r="BI45" s="1112">
        <v>0</v>
      </c>
      <c r="BJ45" s="1112">
        <v>0</v>
      </c>
      <c r="BK45" s="1112">
        <v>0</v>
      </c>
      <c r="BL45" s="270">
        <v>591191</v>
      </c>
      <c r="BM45" s="1112">
        <v>412921</v>
      </c>
      <c r="BN45" s="1112">
        <v>0</v>
      </c>
      <c r="BO45" s="1112">
        <v>0</v>
      </c>
      <c r="BP45" s="1112">
        <v>171895</v>
      </c>
      <c r="BQ45" s="1112">
        <v>0</v>
      </c>
      <c r="BR45" s="1112">
        <v>0</v>
      </c>
      <c r="BS45" s="270">
        <v>0</v>
      </c>
      <c r="BT45" s="298">
        <v>100577</v>
      </c>
      <c r="BU45" s="298">
        <v>0</v>
      </c>
      <c r="BV45" s="298">
        <v>58024</v>
      </c>
      <c r="BW45" s="298">
        <v>135950</v>
      </c>
      <c r="BX45" s="298">
        <v>589923</v>
      </c>
      <c r="BY45" s="298">
        <v>2276</v>
      </c>
      <c r="BZ45" s="298">
        <v>0</v>
      </c>
      <c r="CA45" s="298">
        <v>331938</v>
      </c>
      <c r="CB45" s="298">
        <v>0</v>
      </c>
      <c r="CC45" s="298">
        <v>3229699</v>
      </c>
      <c r="CD45" s="298">
        <v>0</v>
      </c>
      <c r="CE45" s="298">
        <v>123592</v>
      </c>
      <c r="CF45" s="298">
        <v>38506</v>
      </c>
      <c r="CG45" s="298">
        <v>219789</v>
      </c>
      <c r="CH45" s="298">
        <v>14883558</v>
      </c>
      <c r="CI45" s="298">
        <v>484146</v>
      </c>
      <c r="CJ45" s="298">
        <v>82246</v>
      </c>
      <c r="CK45" s="298">
        <v>0</v>
      </c>
      <c r="CL45" s="298">
        <v>36034</v>
      </c>
      <c r="CM45" s="298">
        <v>735996</v>
      </c>
      <c r="CN45" s="298">
        <v>390217</v>
      </c>
      <c r="CO45" s="298">
        <v>483649</v>
      </c>
      <c r="CP45" s="298">
        <v>0</v>
      </c>
      <c r="CQ45" s="298">
        <v>0</v>
      </c>
    </row>
    <row r="46" spans="1:95" x14ac:dyDescent="0.3">
      <c r="A46" s="270">
        <v>82</v>
      </c>
      <c r="B46" s="270">
        <v>82</v>
      </c>
      <c r="C46" s="270" t="s">
        <v>553</v>
      </c>
      <c r="D46" s="270" t="s">
        <v>349</v>
      </c>
      <c r="E46" s="270">
        <v>0</v>
      </c>
      <c r="F46" s="1112">
        <v>0</v>
      </c>
      <c r="G46" s="1112">
        <v>0</v>
      </c>
      <c r="H46" s="1112">
        <v>5523067</v>
      </c>
      <c r="I46" s="270">
        <v>2593018</v>
      </c>
      <c r="J46" s="1112">
        <v>0</v>
      </c>
      <c r="K46" s="1112">
        <v>25318743</v>
      </c>
      <c r="L46" s="1112">
        <v>686061</v>
      </c>
      <c r="M46" s="1112">
        <v>0</v>
      </c>
      <c r="N46" s="270">
        <v>0</v>
      </c>
      <c r="O46" s="1112">
        <v>1096988</v>
      </c>
      <c r="P46" s="270">
        <v>0</v>
      </c>
      <c r="Q46" s="1112">
        <v>547748</v>
      </c>
      <c r="R46" s="1112">
        <v>0</v>
      </c>
      <c r="S46" s="270">
        <v>0</v>
      </c>
      <c r="T46" s="1112">
        <v>0</v>
      </c>
      <c r="U46" s="1112">
        <v>15218530</v>
      </c>
      <c r="V46" s="1112">
        <v>0</v>
      </c>
      <c r="W46" s="270">
        <v>0</v>
      </c>
      <c r="X46" s="270">
        <v>0</v>
      </c>
      <c r="Y46" s="1112">
        <v>1277506</v>
      </c>
      <c r="Z46" s="270">
        <v>0</v>
      </c>
      <c r="AA46" s="1112">
        <v>434961</v>
      </c>
      <c r="AB46" s="1112">
        <v>3930823</v>
      </c>
      <c r="AC46" s="1112">
        <v>0</v>
      </c>
      <c r="AD46" s="1112">
        <v>115282</v>
      </c>
      <c r="AE46" s="1112">
        <v>35203391</v>
      </c>
      <c r="AF46" s="270">
        <v>0</v>
      </c>
      <c r="AG46" s="270">
        <v>3259429</v>
      </c>
      <c r="AH46" s="1112">
        <v>0</v>
      </c>
      <c r="AI46" s="1112">
        <v>0</v>
      </c>
      <c r="AJ46" s="1112">
        <v>12920254</v>
      </c>
      <c r="AK46" s="1112">
        <v>1967610</v>
      </c>
      <c r="AL46" s="270">
        <v>779800</v>
      </c>
      <c r="AM46" s="270">
        <v>0</v>
      </c>
      <c r="AN46" s="1112">
        <v>0</v>
      </c>
      <c r="AO46" s="270">
        <v>0</v>
      </c>
      <c r="AP46" s="1112">
        <v>1890856</v>
      </c>
      <c r="AQ46" s="270">
        <v>975686</v>
      </c>
      <c r="AR46" s="1112">
        <v>0</v>
      </c>
      <c r="AS46" s="1112">
        <v>0</v>
      </c>
      <c r="AT46" s="270">
        <v>0</v>
      </c>
      <c r="AU46" s="1112">
        <v>0</v>
      </c>
      <c r="AV46" s="270">
        <v>64500</v>
      </c>
      <c r="AW46" s="1112">
        <v>277657</v>
      </c>
      <c r="AX46" s="270">
        <v>0</v>
      </c>
      <c r="AY46" s="1112">
        <v>0</v>
      </c>
      <c r="AZ46" s="270">
        <v>247824</v>
      </c>
      <c r="BA46" s="270">
        <v>5119962</v>
      </c>
      <c r="BB46" s="270">
        <v>0</v>
      </c>
      <c r="BC46" s="1112">
        <v>650922</v>
      </c>
      <c r="BD46" s="270">
        <v>469469</v>
      </c>
      <c r="BE46" s="1112">
        <v>0</v>
      </c>
      <c r="BF46" s="1112">
        <v>2880983</v>
      </c>
      <c r="BG46" s="1112">
        <v>2012988</v>
      </c>
      <c r="BH46" s="1112">
        <v>1928161</v>
      </c>
      <c r="BI46" s="1112">
        <v>0</v>
      </c>
      <c r="BJ46" s="1112">
        <v>0</v>
      </c>
      <c r="BK46" s="1112">
        <v>0</v>
      </c>
      <c r="BL46" s="270">
        <v>1074818</v>
      </c>
      <c r="BM46" s="270">
        <v>1989000</v>
      </c>
      <c r="BN46" s="1112">
        <v>0</v>
      </c>
      <c r="BO46" s="1112">
        <v>0</v>
      </c>
      <c r="BP46" s="1112">
        <v>0</v>
      </c>
      <c r="BQ46" s="1112">
        <v>1633030</v>
      </c>
      <c r="BR46" s="1112">
        <v>0</v>
      </c>
      <c r="BS46" s="270">
        <v>0</v>
      </c>
      <c r="BT46" s="298">
        <v>1021521</v>
      </c>
      <c r="BU46" s="298">
        <v>0</v>
      </c>
      <c r="BV46" s="298">
        <v>721884</v>
      </c>
      <c r="BW46" s="298">
        <v>276396</v>
      </c>
      <c r="BX46" s="298">
        <v>1128536</v>
      </c>
      <c r="BY46" s="298">
        <v>0</v>
      </c>
      <c r="BZ46" s="298">
        <v>0</v>
      </c>
      <c r="CA46" s="298">
        <v>8936303</v>
      </c>
      <c r="CB46" s="298">
        <v>0</v>
      </c>
      <c r="CC46" s="298">
        <v>19492198</v>
      </c>
      <c r="CD46" s="298">
        <v>3752000</v>
      </c>
      <c r="CE46" s="298">
        <v>604979</v>
      </c>
      <c r="CF46" s="298">
        <v>635509</v>
      </c>
      <c r="CG46" s="298">
        <v>3719551</v>
      </c>
      <c r="CH46" s="298">
        <v>512449674</v>
      </c>
      <c r="CI46" s="298">
        <v>4185991</v>
      </c>
      <c r="CJ46" s="298">
        <v>107962</v>
      </c>
      <c r="CK46" s="298">
        <v>0</v>
      </c>
      <c r="CL46" s="298">
        <v>476405</v>
      </c>
      <c r="CM46" s="298">
        <v>0</v>
      </c>
      <c r="CN46" s="298">
        <v>0</v>
      </c>
      <c r="CO46" s="298">
        <v>2698266</v>
      </c>
      <c r="CP46" s="298">
        <v>0</v>
      </c>
      <c r="CQ46" s="298">
        <v>0</v>
      </c>
    </row>
    <row r="47" spans="1:95" x14ac:dyDescent="0.3">
      <c r="A47" s="270">
        <v>83</v>
      </c>
      <c r="B47" s="270">
        <v>83</v>
      </c>
      <c r="C47" s="270" t="s">
        <v>102</v>
      </c>
      <c r="D47" s="270" t="s">
        <v>350</v>
      </c>
      <c r="E47" s="1112">
        <v>0</v>
      </c>
      <c r="F47" s="1112">
        <v>0</v>
      </c>
      <c r="G47" s="1112">
        <v>4321516</v>
      </c>
      <c r="H47" s="1112">
        <v>8528616</v>
      </c>
      <c r="I47" s="270">
        <v>6687918</v>
      </c>
      <c r="J47" s="1112">
        <v>1066276</v>
      </c>
      <c r="K47" s="1112">
        <v>59909966</v>
      </c>
      <c r="L47" s="1112">
        <v>4036170</v>
      </c>
      <c r="M47" s="1112">
        <v>0</v>
      </c>
      <c r="N47" s="270">
        <v>4498427</v>
      </c>
      <c r="O47" s="1112">
        <v>5698815</v>
      </c>
      <c r="P47" s="270">
        <v>0</v>
      </c>
      <c r="Q47" s="1112">
        <v>3906627</v>
      </c>
      <c r="R47" s="1112">
        <v>0</v>
      </c>
      <c r="S47" s="270">
        <v>0</v>
      </c>
      <c r="T47" s="1112">
        <v>0</v>
      </c>
      <c r="U47" s="1112">
        <v>31442834</v>
      </c>
      <c r="V47" s="1112">
        <v>0</v>
      </c>
      <c r="W47" s="1112">
        <v>4298780</v>
      </c>
      <c r="X47" s="1112">
        <v>0</v>
      </c>
      <c r="Y47" s="1112">
        <v>10909349</v>
      </c>
      <c r="Z47" s="270">
        <v>0</v>
      </c>
      <c r="AA47" s="1112">
        <v>11099418</v>
      </c>
      <c r="AB47" s="1112">
        <v>12224822</v>
      </c>
      <c r="AC47" s="1112">
        <v>293550</v>
      </c>
      <c r="AD47" s="1112">
        <v>2496615</v>
      </c>
      <c r="AE47" s="1112">
        <v>16543519</v>
      </c>
      <c r="AF47" s="270">
        <v>0</v>
      </c>
      <c r="AG47" s="270">
        <v>4266366</v>
      </c>
      <c r="AH47" s="1112">
        <v>0</v>
      </c>
      <c r="AI47" s="1112">
        <v>6409573</v>
      </c>
      <c r="AJ47" s="1112">
        <v>12574366</v>
      </c>
      <c r="AK47" s="1112">
        <v>14215386</v>
      </c>
      <c r="AL47" s="270">
        <v>7179392</v>
      </c>
      <c r="AM47" s="270">
        <v>0</v>
      </c>
      <c r="AN47" s="1112">
        <v>183299</v>
      </c>
      <c r="AO47" s="1112">
        <v>0</v>
      </c>
      <c r="AP47" s="1112">
        <v>20925241</v>
      </c>
      <c r="AQ47" s="270">
        <v>2539636</v>
      </c>
      <c r="AR47" s="1112">
        <v>0</v>
      </c>
      <c r="AS47" s="1112">
        <v>0</v>
      </c>
      <c r="AT47" s="1112">
        <v>0</v>
      </c>
      <c r="AU47" s="1112">
        <v>0</v>
      </c>
      <c r="AV47" s="270">
        <v>524069</v>
      </c>
      <c r="AW47" s="1112">
        <v>12508079</v>
      </c>
      <c r="AX47" s="1112">
        <v>3553030</v>
      </c>
      <c r="AY47" s="1112">
        <v>0</v>
      </c>
      <c r="AZ47" s="1112">
        <v>208401</v>
      </c>
      <c r="BA47" s="270">
        <v>14445021</v>
      </c>
      <c r="BB47" s="1112">
        <v>0</v>
      </c>
      <c r="BC47" s="1112">
        <v>4295476</v>
      </c>
      <c r="BD47" s="270">
        <v>2527907</v>
      </c>
      <c r="BE47" s="1112">
        <v>1490498</v>
      </c>
      <c r="BF47" s="1112">
        <v>5158618</v>
      </c>
      <c r="BG47" s="1112">
        <v>16090660</v>
      </c>
      <c r="BH47" s="1112">
        <v>37407797</v>
      </c>
      <c r="BI47" s="1112">
        <v>0</v>
      </c>
      <c r="BJ47" s="1112">
        <v>0</v>
      </c>
      <c r="BK47" s="1112">
        <v>0</v>
      </c>
      <c r="BL47" s="270">
        <v>23063837</v>
      </c>
      <c r="BM47" s="1112">
        <v>9513437</v>
      </c>
      <c r="BN47" s="1112">
        <v>0</v>
      </c>
      <c r="BO47" s="1112">
        <v>0</v>
      </c>
      <c r="BP47" s="1112">
        <v>8948212</v>
      </c>
      <c r="BQ47" s="1112">
        <v>0</v>
      </c>
      <c r="BR47" s="1112">
        <v>0</v>
      </c>
      <c r="BS47" s="270">
        <v>0</v>
      </c>
      <c r="BT47" s="298">
        <v>9881472</v>
      </c>
      <c r="BU47" s="298">
        <v>0</v>
      </c>
      <c r="BV47" s="298">
        <v>1899446</v>
      </c>
      <c r="BW47" s="298">
        <v>5648400</v>
      </c>
      <c r="BX47" s="298">
        <v>16091776</v>
      </c>
      <c r="BY47" s="298">
        <v>704057</v>
      </c>
      <c r="BZ47" s="298">
        <v>0</v>
      </c>
      <c r="CA47" s="298">
        <v>13933620</v>
      </c>
      <c r="CB47" s="298">
        <v>0</v>
      </c>
      <c r="CC47" s="298">
        <v>135745408</v>
      </c>
      <c r="CD47" s="298">
        <v>2236087</v>
      </c>
      <c r="CE47" s="298">
        <v>6149286</v>
      </c>
      <c r="CF47" s="298">
        <v>4451998</v>
      </c>
      <c r="CG47" s="298">
        <v>6520407</v>
      </c>
      <c r="CH47" s="298">
        <v>536912793</v>
      </c>
      <c r="CI47" s="298">
        <v>5245843</v>
      </c>
      <c r="CJ47" s="298">
        <v>4087314</v>
      </c>
      <c r="CK47" s="298">
        <v>0</v>
      </c>
      <c r="CL47" s="298">
        <v>1861769</v>
      </c>
      <c r="CM47" s="298">
        <v>12327785</v>
      </c>
      <c r="CN47" s="298">
        <v>15003497</v>
      </c>
      <c r="CO47" s="298">
        <v>8680229</v>
      </c>
      <c r="CP47" s="298">
        <v>0</v>
      </c>
      <c r="CQ47" s="298">
        <v>0</v>
      </c>
    </row>
    <row r="48" spans="1:95" x14ac:dyDescent="0.3">
      <c r="A48" s="270">
        <v>84</v>
      </c>
      <c r="B48" s="270">
        <v>84</v>
      </c>
      <c r="C48" s="270" t="s">
        <v>227</v>
      </c>
      <c r="D48" s="270" t="s">
        <v>351</v>
      </c>
      <c r="E48" s="1112">
        <v>0</v>
      </c>
      <c r="F48" s="1112">
        <v>0</v>
      </c>
      <c r="G48" s="1112">
        <v>446592</v>
      </c>
      <c r="H48" s="1112">
        <v>2560462</v>
      </c>
      <c r="I48" s="270">
        <v>810072</v>
      </c>
      <c r="J48" s="1112">
        <v>267375</v>
      </c>
      <c r="K48" s="1112">
        <v>12287283</v>
      </c>
      <c r="L48" s="1112">
        <v>501779</v>
      </c>
      <c r="M48" s="1112">
        <v>0</v>
      </c>
      <c r="N48" s="270">
        <v>475607</v>
      </c>
      <c r="O48" s="1112">
        <v>653499</v>
      </c>
      <c r="P48" s="270">
        <v>0</v>
      </c>
      <c r="Q48" s="1112">
        <v>260736</v>
      </c>
      <c r="R48" s="1112">
        <v>0</v>
      </c>
      <c r="S48" s="270">
        <v>0</v>
      </c>
      <c r="T48" s="1112">
        <v>0</v>
      </c>
      <c r="U48" s="1112">
        <v>6154058</v>
      </c>
      <c r="V48" s="1112">
        <v>0</v>
      </c>
      <c r="W48" s="1112">
        <v>1041043</v>
      </c>
      <c r="X48" s="1112">
        <v>0</v>
      </c>
      <c r="Y48" s="1112">
        <v>1537135</v>
      </c>
      <c r="Z48" s="270">
        <v>0</v>
      </c>
      <c r="AA48" s="1112">
        <v>4414410</v>
      </c>
      <c r="AB48" s="1112">
        <v>2716175</v>
      </c>
      <c r="AC48" s="1112">
        <v>175799</v>
      </c>
      <c r="AD48" s="1112">
        <v>224698</v>
      </c>
      <c r="AE48" s="1112">
        <v>12856425</v>
      </c>
      <c r="AF48" s="270">
        <v>0</v>
      </c>
      <c r="AG48" s="270">
        <v>893447</v>
      </c>
      <c r="AH48" s="1112">
        <v>0</v>
      </c>
      <c r="AI48" s="1112">
        <v>130659</v>
      </c>
      <c r="AJ48" s="1112">
        <v>771576</v>
      </c>
      <c r="AK48" s="1112">
        <v>2197276</v>
      </c>
      <c r="AL48" s="270">
        <v>1647418</v>
      </c>
      <c r="AM48" s="270">
        <v>0</v>
      </c>
      <c r="AN48" s="1112">
        <v>55811</v>
      </c>
      <c r="AO48" s="1112">
        <v>0</v>
      </c>
      <c r="AP48" s="1112">
        <v>4968903</v>
      </c>
      <c r="AQ48" s="270">
        <v>518007</v>
      </c>
      <c r="AR48" s="1112">
        <v>0</v>
      </c>
      <c r="AS48" s="1112">
        <v>0</v>
      </c>
      <c r="AT48" s="1112">
        <v>0</v>
      </c>
      <c r="AU48" s="1112">
        <v>0</v>
      </c>
      <c r="AV48" s="270">
        <v>107968</v>
      </c>
      <c r="AW48" s="1112">
        <v>2784235</v>
      </c>
      <c r="AX48" s="1112">
        <v>237716</v>
      </c>
      <c r="AY48" s="1112">
        <v>0</v>
      </c>
      <c r="AZ48" s="1112">
        <v>0</v>
      </c>
      <c r="BA48" s="270">
        <v>3078619</v>
      </c>
      <c r="BB48" s="270">
        <v>0</v>
      </c>
      <c r="BC48" s="1112">
        <v>839751</v>
      </c>
      <c r="BD48" s="270">
        <v>385271</v>
      </c>
      <c r="BE48" s="1112">
        <v>186431</v>
      </c>
      <c r="BF48" s="1112">
        <v>1066988</v>
      </c>
      <c r="BG48" s="1112">
        <v>1392903</v>
      </c>
      <c r="BH48" s="1112">
        <v>6585952</v>
      </c>
      <c r="BI48" s="1112">
        <v>0</v>
      </c>
      <c r="BJ48" s="1112">
        <v>0</v>
      </c>
      <c r="BK48" s="1112">
        <v>0</v>
      </c>
      <c r="BL48" s="270">
        <v>6064362</v>
      </c>
      <c r="BM48" s="1112">
        <v>2263956</v>
      </c>
      <c r="BN48" s="1112">
        <v>0</v>
      </c>
      <c r="BO48" s="1112">
        <v>0</v>
      </c>
      <c r="BP48" s="1112">
        <v>1856963</v>
      </c>
      <c r="BQ48" s="1112">
        <v>0</v>
      </c>
      <c r="BR48" s="1112">
        <v>0</v>
      </c>
      <c r="BS48" s="270">
        <v>0</v>
      </c>
      <c r="BT48" s="298">
        <v>1013943</v>
      </c>
      <c r="BU48" s="298">
        <v>0</v>
      </c>
      <c r="BV48" s="298">
        <v>452153</v>
      </c>
      <c r="BW48" s="298">
        <v>1472283</v>
      </c>
      <c r="BX48" s="298">
        <v>2823192</v>
      </c>
      <c r="BY48" s="298">
        <v>20727</v>
      </c>
      <c r="BZ48" s="298">
        <v>0</v>
      </c>
      <c r="CA48" s="298">
        <v>4080543</v>
      </c>
      <c r="CB48" s="298">
        <v>0</v>
      </c>
      <c r="CC48" s="298">
        <v>26775009</v>
      </c>
      <c r="CD48" s="298">
        <v>27000</v>
      </c>
      <c r="CE48" s="298">
        <v>967824</v>
      </c>
      <c r="CF48" s="298">
        <v>216421</v>
      </c>
      <c r="CG48" s="298">
        <v>2015636</v>
      </c>
      <c r="CH48" s="298">
        <v>114816710</v>
      </c>
      <c r="CI48" s="298">
        <v>3703461</v>
      </c>
      <c r="CJ48" s="298">
        <v>616767</v>
      </c>
      <c r="CK48" s="298">
        <v>0</v>
      </c>
      <c r="CL48" s="298">
        <v>273522</v>
      </c>
      <c r="CM48" s="298">
        <v>3522693</v>
      </c>
      <c r="CN48" s="298">
        <v>2576696</v>
      </c>
      <c r="CO48" s="298">
        <v>1851385</v>
      </c>
      <c r="CP48" s="298">
        <v>0</v>
      </c>
      <c r="CQ48" s="298">
        <v>0</v>
      </c>
    </row>
    <row r="49" spans="1:95" x14ac:dyDescent="0.3">
      <c r="A49" s="270">
        <v>85</v>
      </c>
      <c r="B49" s="270">
        <v>85</v>
      </c>
      <c r="C49" s="270" t="s">
        <v>229</v>
      </c>
      <c r="D49" s="270" t="s">
        <v>352</v>
      </c>
      <c r="E49" s="1112">
        <v>0</v>
      </c>
      <c r="F49" s="1112">
        <v>0</v>
      </c>
      <c r="G49" s="1112">
        <v>474040</v>
      </c>
      <c r="H49" s="1112">
        <v>2915822</v>
      </c>
      <c r="I49" s="270">
        <v>782201</v>
      </c>
      <c r="J49" s="1112">
        <v>321141</v>
      </c>
      <c r="K49" s="1112">
        <v>11490273</v>
      </c>
      <c r="L49" s="1112">
        <v>586245</v>
      </c>
      <c r="M49" s="1112">
        <v>0</v>
      </c>
      <c r="N49" s="270">
        <v>552207</v>
      </c>
      <c r="O49" s="1112">
        <v>704856</v>
      </c>
      <c r="P49" s="270">
        <v>0</v>
      </c>
      <c r="Q49" s="1112">
        <v>338341</v>
      </c>
      <c r="R49" s="1112">
        <v>0</v>
      </c>
      <c r="S49" s="270">
        <v>0</v>
      </c>
      <c r="T49" s="1112">
        <v>0</v>
      </c>
      <c r="U49" s="1112">
        <v>3395391</v>
      </c>
      <c r="V49" s="1112">
        <v>0</v>
      </c>
      <c r="W49" s="1112">
        <v>1070158</v>
      </c>
      <c r="X49" s="1112">
        <v>0</v>
      </c>
      <c r="Y49" s="1112">
        <v>1659759</v>
      </c>
      <c r="Z49" s="270">
        <v>0</v>
      </c>
      <c r="AA49" s="1112">
        <v>4959372</v>
      </c>
      <c r="AB49" s="1112">
        <v>2827632</v>
      </c>
      <c r="AC49" s="1112">
        <v>363237</v>
      </c>
      <c r="AD49" s="1112">
        <v>274962</v>
      </c>
      <c r="AE49" s="1112">
        <v>10663024</v>
      </c>
      <c r="AF49" s="270">
        <v>0</v>
      </c>
      <c r="AG49" s="270">
        <v>702928</v>
      </c>
      <c r="AH49" s="1112">
        <v>0</v>
      </c>
      <c r="AI49" s="1112">
        <v>215863</v>
      </c>
      <c r="AJ49" s="1112">
        <v>2048868</v>
      </c>
      <c r="AK49" s="1112">
        <v>2154921</v>
      </c>
      <c r="AL49" s="270">
        <v>1771746</v>
      </c>
      <c r="AM49" s="270">
        <v>0</v>
      </c>
      <c r="AN49" s="1112">
        <v>46432</v>
      </c>
      <c r="AO49" s="1112">
        <v>0</v>
      </c>
      <c r="AP49" s="1112">
        <v>4825593</v>
      </c>
      <c r="AQ49" s="270">
        <v>695583</v>
      </c>
      <c r="AR49" s="1112">
        <v>0</v>
      </c>
      <c r="AS49" s="1112">
        <v>0</v>
      </c>
      <c r="AT49" s="1112">
        <v>0</v>
      </c>
      <c r="AU49" s="1112">
        <v>0</v>
      </c>
      <c r="AV49" s="270">
        <v>150437</v>
      </c>
      <c r="AW49" s="1112">
        <v>2831801</v>
      </c>
      <c r="AX49" s="1112">
        <v>323146</v>
      </c>
      <c r="AY49" s="1112">
        <v>0</v>
      </c>
      <c r="AZ49" s="1112">
        <v>0</v>
      </c>
      <c r="BA49" s="270">
        <v>3272563</v>
      </c>
      <c r="BB49" s="270">
        <v>0</v>
      </c>
      <c r="BC49" s="1112">
        <v>804709</v>
      </c>
      <c r="BD49" s="270">
        <v>399869</v>
      </c>
      <c r="BE49" s="1112">
        <v>233780</v>
      </c>
      <c r="BF49" s="1112">
        <v>1438437</v>
      </c>
      <c r="BG49" s="1112">
        <v>1568846</v>
      </c>
      <c r="BH49" s="1112">
        <v>6614647</v>
      </c>
      <c r="BI49" s="1112">
        <v>0</v>
      </c>
      <c r="BJ49" s="1112">
        <v>0</v>
      </c>
      <c r="BK49" s="1112">
        <v>0</v>
      </c>
      <c r="BL49" s="270">
        <v>6141637</v>
      </c>
      <c r="BM49" s="1112">
        <v>1781242</v>
      </c>
      <c r="BN49" s="1112">
        <v>0</v>
      </c>
      <c r="BO49" s="1112">
        <v>0</v>
      </c>
      <c r="BP49" s="1112">
        <v>1856449</v>
      </c>
      <c r="BQ49" s="1112">
        <v>0</v>
      </c>
      <c r="BR49" s="1112">
        <v>0</v>
      </c>
      <c r="BS49" s="270">
        <v>0</v>
      </c>
      <c r="BT49" s="298">
        <v>1053152</v>
      </c>
      <c r="BU49" s="298">
        <v>0</v>
      </c>
      <c r="BV49" s="298">
        <v>553142</v>
      </c>
      <c r="BW49" s="298">
        <v>1197515</v>
      </c>
      <c r="BX49" s="298">
        <v>2720876</v>
      </c>
      <c r="BY49" s="298">
        <v>32814</v>
      </c>
      <c r="BZ49" s="298">
        <v>0</v>
      </c>
      <c r="CA49" s="298">
        <v>3922711</v>
      </c>
      <c r="CB49" s="298">
        <v>0</v>
      </c>
      <c r="CC49" s="298">
        <v>21251413</v>
      </c>
      <c r="CD49" s="298">
        <v>7564</v>
      </c>
      <c r="CE49" s="298">
        <v>1079024</v>
      </c>
      <c r="CF49" s="298">
        <v>303160</v>
      </c>
      <c r="CG49" s="298">
        <v>2068598</v>
      </c>
      <c r="CH49" s="298">
        <v>72348559</v>
      </c>
      <c r="CI49" s="298">
        <v>3270211</v>
      </c>
      <c r="CJ49" s="298">
        <v>620148</v>
      </c>
      <c r="CK49" s="298">
        <v>0</v>
      </c>
      <c r="CL49" s="298">
        <v>263224</v>
      </c>
      <c r="CM49" s="298">
        <v>2681821</v>
      </c>
      <c r="CN49" s="298">
        <v>2549997</v>
      </c>
      <c r="CO49" s="298">
        <v>1595320</v>
      </c>
      <c r="CP49" s="298">
        <v>0</v>
      </c>
      <c r="CQ49" s="298">
        <v>0</v>
      </c>
    </row>
    <row r="50" spans="1:95" x14ac:dyDescent="0.3">
      <c r="A50" s="270">
        <v>88</v>
      </c>
      <c r="B50" s="270">
        <v>88</v>
      </c>
      <c r="C50" s="270" t="s">
        <v>226</v>
      </c>
      <c r="D50" s="270" t="s">
        <v>353</v>
      </c>
      <c r="E50" s="1112">
        <v>0</v>
      </c>
      <c r="F50" s="1112">
        <v>0</v>
      </c>
      <c r="G50" s="1112">
        <v>387371</v>
      </c>
      <c r="H50" s="1112">
        <v>2349016</v>
      </c>
      <c r="I50" s="270">
        <v>810072</v>
      </c>
      <c r="J50" s="1112">
        <v>260234</v>
      </c>
      <c r="K50" s="1112">
        <v>11691987</v>
      </c>
      <c r="L50" s="1112">
        <v>483147</v>
      </c>
      <c r="M50" s="1112">
        <v>0</v>
      </c>
      <c r="N50" s="270">
        <v>405055</v>
      </c>
      <c r="O50" s="1112">
        <v>615798</v>
      </c>
      <c r="P50" s="270">
        <v>0</v>
      </c>
      <c r="Q50" s="1112">
        <v>259016</v>
      </c>
      <c r="R50" s="1112">
        <v>0</v>
      </c>
      <c r="S50" s="270">
        <v>0</v>
      </c>
      <c r="T50" s="1112">
        <v>0</v>
      </c>
      <c r="U50" s="1112">
        <v>4094535</v>
      </c>
      <c r="V50" s="1112">
        <v>0</v>
      </c>
      <c r="W50" s="1112">
        <v>1019148</v>
      </c>
      <c r="X50" s="1112">
        <v>0</v>
      </c>
      <c r="Y50" s="1112">
        <v>1484851</v>
      </c>
      <c r="Z50" s="270">
        <v>0</v>
      </c>
      <c r="AA50" s="1112">
        <v>4359844</v>
      </c>
      <c r="AB50" s="1112">
        <v>2474670</v>
      </c>
      <c r="AC50" s="1112">
        <v>174446</v>
      </c>
      <c r="AD50" s="1112">
        <v>223698</v>
      </c>
      <c r="AE50" s="1112">
        <v>12051007</v>
      </c>
      <c r="AF50" s="270">
        <v>0</v>
      </c>
      <c r="AG50" s="270">
        <v>826955</v>
      </c>
      <c r="AH50" s="1112">
        <v>0</v>
      </c>
      <c r="AI50" s="1112">
        <v>129920</v>
      </c>
      <c r="AJ50" s="1112">
        <v>728959</v>
      </c>
      <c r="AK50" s="1112">
        <v>2092442</v>
      </c>
      <c r="AL50" s="270">
        <v>1377362</v>
      </c>
      <c r="AM50" s="270">
        <v>0</v>
      </c>
      <c r="AN50" s="1112">
        <v>55811</v>
      </c>
      <c r="AO50" s="1112">
        <v>0</v>
      </c>
      <c r="AP50" s="1112">
        <v>4374937</v>
      </c>
      <c r="AQ50" s="270">
        <v>518007</v>
      </c>
      <c r="AR50" s="1112">
        <v>0</v>
      </c>
      <c r="AS50" s="1112">
        <v>0</v>
      </c>
      <c r="AT50" s="1112">
        <v>0</v>
      </c>
      <c r="AU50" s="1112">
        <v>0</v>
      </c>
      <c r="AV50" s="270">
        <v>92509</v>
      </c>
      <c r="AW50" s="1112">
        <v>2706439</v>
      </c>
      <c r="AX50" s="1112">
        <v>213848</v>
      </c>
      <c r="AY50" s="1112">
        <v>0</v>
      </c>
      <c r="AZ50" s="1112">
        <v>0</v>
      </c>
      <c r="BA50" s="270">
        <v>3007146</v>
      </c>
      <c r="BB50" s="270">
        <v>0</v>
      </c>
      <c r="BC50" s="1112">
        <v>810894</v>
      </c>
      <c r="BD50" s="270">
        <v>341756</v>
      </c>
      <c r="BE50" s="1112">
        <v>183691</v>
      </c>
      <c r="BF50" s="1112">
        <v>998624</v>
      </c>
      <c r="BG50" s="1112">
        <v>1259455</v>
      </c>
      <c r="BH50" s="1112">
        <v>6407791</v>
      </c>
      <c r="BI50" s="1112">
        <v>0</v>
      </c>
      <c r="BJ50" s="1112">
        <v>0</v>
      </c>
      <c r="BK50" s="1112">
        <v>0</v>
      </c>
      <c r="BL50" s="270">
        <v>6064362</v>
      </c>
      <c r="BM50" s="1112">
        <v>1940742</v>
      </c>
      <c r="BN50" s="1112">
        <v>0</v>
      </c>
      <c r="BO50" s="1112">
        <v>0</v>
      </c>
      <c r="BP50" s="1112">
        <v>1840873</v>
      </c>
      <c r="BQ50" s="1112">
        <v>0</v>
      </c>
      <c r="BR50" s="1112">
        <v>0</v>
      </c>
      <c r="BS50" s="270">
        <v>0</v>
      </c>
      <c r="BT50" s="298">
        <v>992164</v>
      </c>
      <c r="BU50" s="298">
        <v>0</v>
      </c>
      <c r="BV50" s="298">
        <v>436646</v>
      </c>
      <c r="BW50" s="298">
        <v>1232810</v>
      </c>
      <c r="BX50" s="298">
        <v>2732696</v>
      </c>
      <c r="BY50" s="298">
        <v>20378</v>
      </c>
      <c r="BZ50" s="298">
        <v>0</v>
      </c>
      <c r="CA50" s="298">
        <v>4040787</v>
      </c>
      <c r="CB50" s="298">
        <v>0</v>
      </c>
      <c r="CC50" s="298">
        <v>26133718</v>
      </c>
      <c r="CD50" s="298">
        <v>0</v>
      </c>
      <c r="CE50" s="298">
        <v>944984</v>
      </c>
      <c r="CF50" s="298">
        <v>216421</v>
      </c>
      <c r="CG50" s="298">
        <v>1897842</v>
      </c>
      <c r="CH50" s="298">
        <v>114700908</v>
      </c>
      <c r="CI50" s="298">
        <v>3693411</v>
      </c>
      <c r="CJ50" s="298">
        <v>579575</v>
      </c>
      <c r="CK50" s="298">
        <v>0</v>
      </c>
      <c r="CL50" s="298">
        <v>239870</v>
      </c>
      <c r="CM50" s="298">
        <v>3385861</v>
      </c>
      <c r="CN50" s="298">
        <v>2504739</v>
      </c>
      <c r="CO50" s="298">
        <v>1762881</v>
      </c>
      <c r="CP50" s="298">
        <v>0</v>
      </c>
      <c r="CQ50" s="298">
        <v>0</v>
      </c>
    </row>
    <row r="51" spans="1:95" x14ac:dyDescent="0.3">
      <c r="A51" s="270">
        <v>89</v>
      </c>
      <c r="B51" s="270">
        <v>89</v>
      </c>
      <c r="C51" s="270" t="s">
        <v>230</v>
      </c>
      <c r="D51" s="270" t="s">
        <v>354</v>
      </c>
      <c r="E51" s="270">
        <v>0</v>
      </c>
      <c r="F51" s="1112">
        <v>0</v>
      </c>
      <c r="G51" s="270">
        <v>0</v>
      </c>
      <c r="H51" s="1112">
        <v>78417</v>
      </c>
      <c r="I51" s="270">
        <v>73695</v>
      </c>
      <c r="J51" s="1112">
        <v>0</v>
      </c>
      <c r="K51" s="1112">
        <v>517611</v>
      </c>
      <c r="L51" s="1112">
        <v>35422</v>
      </c>
      <c r="M51" s="1112">
        <v>0</v>
      </c>
      <c r="N51" s="270">
        <v>0</v>
      </c>
      <c r="O51" s="1112">
        <v>15810</v>
      </c>
      <c r="P51" s="270">
        <v>0</v>
      </c>
      <c r="Q51" s="1112">
        <v>16245</v>
      </c>
      <c r="R51" s="1112">
        <v>0</v>
      </c>
      <c r="S51" s="270">
        <v>0</v>
      </c>
      <c r="T51" s="1112">
        <v>0</v>
      </c>
      <c r="U51" s="1112">
        <v>419110</v>
      </c>
      <c r="V51" s="1112">
        <v>0</v>
      </c>
      <c r="W51" s="270">
        <v>0</v>
      </c>
      <c r="X51" s="1112">
        <v>0</v>
      </c>
      <c r="Y51" s="1112">
        <v>39976</v>
      </c>
      <c r="Z51" s="270">
        <v>0</v>
      </c>
      <c r="AA51" s="1112">
        <v>165</v>
      </c>
      <c r="AB51" s="1112">
        <v>20833</v>
      </c>
      <c r="AC51" s="1112">
        <v>0</v>
      </c>
      <c r="AD51" s="1112">
        <v>5058</v>
      </c>
      <c r="AE51" s="1112">
        <v>877483</v>
      </c>
      <c r="AF51" s="270">
        <v>0</v>
      </c>
      <c r="AG51" s="270">
        <v>20796</v>
      </c>
      <c r="AH51" s="1112">
        <v>0</v>
      </c>
      <c r="AI51" s="1112">
        <v>0</v>
      </c>
      <c r="AJ51" s="1112">
        <v>454348</v>
      </c>
      <c r="AK51" s="1112">
        <v>35503</v>
      </c>
      <c r="AL51" s="270">
        <v>24861</v>
      </c>
      <c r="AM51" s="270">
        <v>0</v>
      </c>
      <c r="AN51" s="1112">
        <v>0</v>
      </c>
      <c r="AO51" s="270">
        <v>0</v>
      </c>
      <c r="AP51" s="1112">
        <v>73660</v>
      </c>
      <c r="AQ51" s="270">
        <v>12579</v>
      </c>
      <c r="AR51" s="1112">
        <v>0</v>
      </c>
      <c r="AS51" s="1112">
        <v>0</v>
      </c>
      <c r="AT51" s="270">
        <v>0</v>
      </c>
      <c r="AU51" s="1112">
        <v>0</v>
      </c>
      <c r="AV51" s="270">
        <v>4515</v>
      </c>
      <c r="AW51" s="1112">
        <v>7057</v>
      </c>
      <c r="AX51" s="270">
        <v>0</v>
      </c>
      <c r="AY51" s="1112">
        <v>0</v>
      </c>
      <c r="AZ51" s="270">
        <v>4317</v>
      </c>
      <c r="BA51" s="270">
        <v>121982</v>
      </c>
      <c r="BB51" s="270">
        <v>0</v>
      </c>
      <c r="BC51" s="1112">
        <v>17350</v>
      </c>
      <c r="BD51" s="270">
        <v>12944</v>
      </c>
      <c r="BE51" s="270">
        <v>0</v>
      </c>
      <c r="BF51" s="1112">
        <v>6962</v>
      </c>
      <c r="BG51" s="270">
        <v>37561</v>
      </c>
      <c r="BH51" s="1112">
        <v>21808</v>
      </c>
      <c r="BI51" s="1112">
        <v>0</v>
      </c>
      <c r="BJ51" s="1112">
        <v>0</v>
      </c>
      <c r="BK51" s="1112">
        <v>0</v>
      </c>
      <c r="BL51" s="270">
        <v>23099</v>
      </c>
      <c r="BM51" s="270">
        <v>44004</v>
      </c>
      <c r="BN51" s="1112">
        <v>0</v>
      </c>
      <c r="BO51" s="1112">
        <v>0</v>
      </c>
      <c r="BP51" s="1112">
        <v>0</v>
      </c>
      <c r="BQ51" s="1112">
        <v>0</v>
      </c>
      <c r="BR51" s="1112">
        <v>0</v>
      </c>
      <c r="BS51" s="270">
        <v>0</v>
      </c>
      <c r="BT51" s="298">
        <v>25974</v>
      </c>
      <c r="BU51" s="298">
        <v>0</v>
      </c>
      <c r="BV51" s="298">
        <v>16032</v>
      </c>
      <c r="BW51" s="298">
        <v>12719</v>
      </c>
      <c r="BX51" s="298">
        <v>31707</v>
      </c>
      <c r="BY51" s="298">
        <v>0</v>
      </c>
      <c r="BZ51" s="298">
        <v>0</v>
      </c>
      <c r="CA51" s="298">
        <v>190964</v>
      </c>
      <c r="CB51" s="298">
        <v>0</v>
      </c>
      <c r="CC51" s="298">
        <v>552943</v>
      </c>
      <c r="CD51" s="298">
        <v>36369</v>
      </c>
      <c r="CE51" s="298">
        <v>0</v>
      </c>
      <c r="CF51" s="298">
        <v>20005</v>
      </c>
      <c r="CG51" s="298">
        <v>102909</v>
      </c>
      <c r="CH51" s="298">
        <v>20510191</v>
      </c>
      <c r="CI51" s="298">
        <v>101120</v>
      </c>
      <c r="CJ51" s="298">
        <v>4088</v>
      </c>
      <c r="CK51" s="298">
        <v>0</v>
      </c>
      <c r="CL51" s="298">
        <v>0</v>
      </c>
      <c r="CM51" s="298">
        <v>0</v>
      </c>
      <c r="CN51" s="298">
        <v>0</v>
      </c>
      <c r="CO51" s="298">
        <v>91340</v>
      </c>
      <c r="CP51" s="298">
        <v>0</v>
      </c>
      <c r="CQ51" s="298">
        <v>0</v>
      </c>
    </row>
    <row r="52" spans="1:95" x14ac:dyDescent="0.3">
      <c r="A52" s="270">
        <v>90</v>
      </c>
      <c r="B52" s="270">
        <v>90</v>
      </c>
      <c r="C52" s="270" t="s">
        <v>223</v>
      </c>
      <c r="D52" s="270" t="s">
        <v>355</v>
      </c>
      <c r="E52" s="270">
        <v>0</v>
      </c>
      <c r="F52" s="270">
        <v>0</v>
      </c>
      <c r="G52" s="270">
        <v>0</v>
      </c>
      <c r="H52" s="1112">
        <v>0</v>
      </c>
      <c r="I52" s="270">
        <v>3118490</v>
      </c>
      <c r="J52" s="270">
        <v>0</v>
      </c>
      <c r="K52" s="270">
        <v>22659915</v>
      </c>
      <c r="L52" s="270">
        <v>0</v>
      </c>
      <c r="M52" s="1112">
        <v>0</v>
      </c>
      <c r="N52" s="270">
        <v>0</v>
      </c>
      <c r="O52" s="270">
        <v>0</v>
      </c>
      <c r="P52" s="270">
        <v>0</v>
      </c>
      <c r="Q52" s="270">
        <v>0</v>
      </c>
      <c r="R52" s="270">
        <v>0</v>
      </c>
      <c r="S52" s="270">
        <v>0</v>
      </c>
      <c r="T52" s="270">
        <v>0</v>
      </c>
      <c r="U52" s="270">
        <v>0</v>
      </c>
      <c r="V52" s="270">
        <v>0</v>
      </c>
      <c r="W52" s="270">
        <v>0</v>
      </c>
      <c r="X52" s="270">
        <v>0</v>
      </c>
      <c r="Y52" s="1112">
        <v>0</v>
      </c>
      <c r="Z52" s="270">
        <v>0</v>
      </c>
      <c r="AA52" s="270">
        <v>12645017</v>
      </c>
      <c r="AB52" s="270">
        <v>0</v>
      </c>
      <c r="AC52" s="270">
        <v>0</v>
      </c>
      <c r="AD52" s="270">
        <v>0</v>
      </c>
      <c r="AE52" s="270">
        <v>0</v>
      </c>
      <c r="AF52" s="270">
        <v>0</v>
      </c>
      <c r="AG52" s="270">
        <v>0</v>
      </c>
      <c r="AH52" s="270">
        <v>0</v>
      </c>
      <c r="AI52" s="270">
        <v>0</v>
      </c>
      <c r="AJ52" s="1112">
        <v>0</v>
      </c>
      <c r="AK52" s="270">
        <v>0</v>
      </c>
      <c r="AL52" s="270">
        <v>0</v>
      </c>
      <c r="AM52" s="270">
        <v>0</v>
      </c>
      <c r="AN52" s="1112">
        <v>0</v>
      </c>
      <c r="AO52" s="270">
        <v>0</v>
      </c>
      <c r="AP52" s="270">
        <v>0</v>
      </c>
      <c r="AQ52" s="270">
        <v>0</v>
      </c>
      <c r="AR52" s="270">
        <v>0</v>
      </c>
      <c r="AS52" s="270">
        <v>0</v>
      </c>
      <c r="AT52" s="270">
        <v>0</v>
      </c>
      <c r="AU52" s="270">
        <v>0</v>
      </c>
      <c r="AV52" s="270">
        <v>0</v>
      </c>
      <c r="AW52" s="270">
        <v>0</v>
      </c>
      <c r="AX52" s="270">
        <v>0</v>
      </c>
      <c r="AY52" s="270">
        <v>5483359</v>
      </c>
      <c r="AZ52" s="270">
        <v>0</v>
      </c>
      <c r="BA52" s="270">
        <v>0</v>
      </c>
      <c r="BB52" s="270">
        <v>0</v>
      </c>
      <c r="BC52" s="270">
        <v>0</v>
      </c>
      <c r="BD52" s="270">
        <v>0</v>
      </c>
      <c r="BE52" s="270">
        <v>248015</v>
      </c>
      <c r="BF52" s="270">
        <v>0</v>
      </c>
      <c r="BG52" s="270">
        <v>0</v>
      </c>
      <c r="BH52" s="1112">
        <v>15681507</v>
      </c>
      <c r="BI52" s="270">
        <v>0</v>
      </c>
      <c r="BJ52" s="270">
        <v>0</v>
      </c>
      <c r="BK52" s="270">
        <v>0</v>
      </c>
      <c r="BL52" s="270">
        <v>2697727</v>
      </c>
      <c r="BM52" s="270">
        <v>0</v>
      </c>
      <c r="BN52" s="270">
        <v>0</v>
      </c>
      <c r="BO52" s="270">
        <v>0</v>
      </c>
      <c r="BP52" s="270">
        <v>0</v>
      </c>
      <c r="BQ52" s="270">
        <v>0</v>
      </c>
      <c r="BR52" s="270">
        <v>0</v>
      </c>
      <c r="BS52" s="270">
        <v>0</v>
      </c>
      <c r="BT52" s="298">
        <v>0</v>
      </c>
      <c r="BU52" s="298">
        <v>0</v>
      </c>
      <c r="BV52" s="298">
        <v>0</v>
      </c>
      <c r="BW52" s="298">
        <v>0</v>
      </c>
      <c r="BX52" s="298">
        <v>0</v>
      </c>
      <c r="BY52" s="298">
        <v>0</v>
      </c>
      <c r="BZ52" s="298">
        <v>0</v>
      </c>
      <c r="CA52" s="298">
        <v>0</v>
      </c>
      <c r="CB52" s="298">
        <v>0</v>
      </c>
      <c r="CC52" s="298">
        <v>35511610</v>
      </c>
      <c r="CD52" s="298">
        <v>0</v>
      </c>
      <c r="CE52" s="298">
        <v>2995730</v>
      </c>
      <c r="CF52" s="298">
        <v>0</v>
      </c>
      <c r="CG52" s="298">
        <v>0</v>
      </c>
      <c r="CH52" s="298">
        <v>0</v>
      </c>
      <c r="CI52" s="298">
        <v>6031149</v>
      </c>
      <c r="CJ52" s="298">
        <v>0</v>
      </c>
      <c r="CK52" s="298">
        <v>0</v>
      </c>
      <c r="CL52" s="298">
        <v>0</v>
      </c>
      <c r="CM52" s="298">
        <v>0</v>
      </c>
      <c r="CN52" s="298">
        <v>0</v>
      </c>
      <c r="CO52" s="298">
        <v>0</v>
      </c>
      <c r="CP52" s="298">
        <v>0</v>
      </c>
      <c r="CQ52" s="298">
        <v>0</v>
      </c>
    </row>
    <row r="53" spans="1:95" x14ac:dyDescent="0.3">
      <c r="A53" s="270">
        <v>91</v>
      </c>
      <c r="B53" s="270">
        <v>91</v>
      </c>
      <c r="C53" s="270" t="s">
        <v>224</v>
      </c>
      <c r="D53" s="270" t="s">
        <v>356</v>
      </c>
      <c r="E53" s="270">
        <v>0</v>
      </c>
      <c r="F53" s="270">
        <v>0</v>
      </c>
      <c r="G53" s="270">
        <v>0</v>
      </c>
      <c r="H53" s="1112">
        <v>0</v>
      </c>
      <c r="I53" s="270">
        <v>127033</v>
      </c>
      <c r="J53" s="270">
        <v>0</v>
      </c>
      <c r="K53" s="270">
        <v>8158993</v>
      </c>
      <c r="L53" s="270">
        <v>0</v>
      </c>
      <c r="M53" s="1112">
        <v>0</v>
      </c>
      <c r="N53" s="270">
        <v>0</v>
      </c>
      <c r="O53" s="270">
        <v>0</v>
      </c>
      <c r="P53" s="270">
        <v>0</v>
      </c>
      <c r="Q53" s="270">
        <v>0</v>
      </c>
      <c r="R53" s="270">
        <v>0</v>
      </c>
      <c r="S53" s="270">
        <v>0</v>
      </c>
      <c r="T53" s="270">
        <v>0</v>
      </c>
      <c r="U53" s="270">
        <v>0</v>
      </c>
      <c r="V53" s="270">
        <v>0</v>
      </c>
      <c r="W53" s="270">
        <v>0</v>
      </c>
      <c r="X53" s="270">
        <v>0</v>
      </c>
      <c r="Y53" s="1112">
        <v>0</v>
      </c>
      <c r="Z53" s="270">
        <v>0</v>
      </c>
      <c r="AA53" s="270">
        <v>2733521</v>
      </c>
      <c r="AB53" s="270">
        <v>0</v>
      </c>
      <c r="AC53" s="270">
        <v>0</v>
      </c>
      <c r="AD53" s="270">
        <v>0</v>
      </c>
      <c r="AE53" s="270">
        <v>0</v>
      </c>
      <c r="AF53" s="270">
        <v>0</v>
      </c>
      <c r="AG53" s="270">
        <v>0</v>
      </c>
      <c r="AH53" s="270">
        <v>0</v>
      </c>
      <c r="AI53" s="270">
        <v>0</v>
      </c>
      <c r="AJ53" s="1112">
        <v>0</v>
      </c>
      <c r="AK53" s="270">
        <v>0</v>
      </c>
      <c r="AL53" s="270">
        <v>0</v>
      </c>
      <c r="AM53" s="270">
        <v>0</v>
      </c>
      <c r="AN53" s="1112">
        <v>0</v>
      </c>
      <c r="AO53" s="270">
        <v>0</v>
      </c>
      <c r="AP53" s="270">
        <v>0</v>
      </c>
      <c r="AQ53" s="270">
        <v>0</v>
      </c>
      <c r="AR53" s="270">
        <v>0</v>
      </c>
      <c r="AS53" s="270">
        <v>0</v>
      </c>
      <c r="AT53" s="270">
        <v>0</v>
      </c>
      <c r="AU53" s="270">
        <v>0</v>
      </c>
      <c r="AV53" s="270">
        <v>0</v>
      </c>
      <c r="AW53" s="270">
        <v>0</v>
      </c>
      <c r="AX53" s="270">
        <v>0</v>
      </c>
      <c r="AY53" s="270">
        <v>2571768</v>
      </c>
      <c r="AZ53" s="270">
        <v>0</v>
      </c>
      <c r="BA53" s="270">
        <v>0</v>
      </c>
      <c r="BB53" s="270">
        <v>0</v>
      </c>
      <c r="BC53" s="270">
        <v>0</v>
      </c>
      <c r="BD53" s="270">
        <v>0</v>
      </c>
      <c r="BE53" s="270">
        <v>29829</v>
      </c>
      <c r="BF53" s="270">
        <v>0</v>
      </c>
      <c r="BG53" s="270">
        <v>0</v>
      </c>
      <c r="BH53" s="1112">
        <v>4808960</v>
      </c>
      <c r="BI53" s="270">
        <v>0</v>
      </c>
      <c r="BJ53" s="270">
        <v>0</v>
      </c>
      <c r="BK53" s="270">
        <v>0</v>
      </c>
      <c r="BL53" s="270">
        <v>863129</v>
      </c>
      <c r="BM53" s="270">
        <v>0</v>
      </c>
      <c r="BN53" s="270">
        <v>0</v>
      </c>
      <c r="BO53" s="270">
        <v>0</v>
      </c>
      <c r="BP53" s="270">
        <v>0</v>
      </c>
      <c r="BQ53" s="270">
        <v>0</v>
      </c>
      <c r="BR53" s="270">
        <v>0</v>
      </c>
      <c r="BS53" s="270">
        <v>0</v>
      </c>
      <c r="BT53" s="298">
        <v>0</v>
      </c>
      <c r="BU53" s="298">
        <v>0</v>
      </c>
      <c r="BV53" s="298">
        <v>0</v>
      </c>
      <c r="BW53" s="298">
        <v>0</v>
      </c>
      <c r="BX53" s="298">
        <v>0</v>
      </c>
      <c r="BY53" s="298">
        <v>0</v>
      </c>
      <c r="BZ53" s="298">
        <v>0</v>
      </c>
      <c r="CA53" s="298">
        <v>0</v>
      </c>
      <c r="CB53" s="298">
        <v>0</v>
      </c>
      <c r="CC53" s="298">
        <v>13736766</v>
      </c>
      <c r="CD53" s="298">
        <v>0</v>
      </c>
      <c r="CE53" s="298">
        <v>691493</v>
      </c>
      <c r="CF53" s="298">
        <v>0</v>
      </c>
      <c r="CG53" s="298">
        <v>0</v>
      </c>
      <c r="CH53" s="298">
        <v>0</v>
      </c>
      <c r="CI53" s="298">
        <v>942826</v>
      </c>
      <c r="CJ53" s="298">
        <v>0</v>
      </c>
      <c r="CK53" s="298">
        <v>0</v>
      </c>
      <c r="CL53" s="298">
        <v>0</v>
      </c>
      <c r="CM53" s="298">
        <v>0</v>
      </c>
      <c r="CN53" s="298">
        <v>0</v>
      </c>
      <c r="CO53" s="298">
        <v>0</v>
      </c>
      <c r="CP53" s="298">
        <v>0</v>
      </c>
      <c r="CQ53" s="298">
        <v>0</v>
      </c>
    </row>
    <row r="54" spans="1:95" x14ac:dyDescent="0.3">
      <c r="A54" s="270"/>
      <c r="B54" s="270">
        <v>92</v>
      </c>
      <c r="C54" s="270" t="s">
        <v>631</v>
      </c>
      <c r="D54" s="270" t="s">
        <v>357</v>
      </c>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0"/>
      <c r="BR54" s="270"/>
      <c r="BS54" s="270"/>
    </row>
    <row r="55" spans="1:95" x14ac:dyDescent="0.3">
      <c r="A55" s="270">
        <v>93</v>
      </c>
      <c r="B55" s="270">
        <v>93</v>
      </c>
      <c r="C55" s="270" t="s">
        <v>237</v>
      </c>
      <c r="D55" s="270" t="s">
        <v>358</v>
      </c>
      <c r="E55" s="270">
        <v>0</v>
      </c>
      <c r="F55" s="270">
        <v>0</v>
      </c>
      <c r="G55" s="270">
        <v>0</v>
      </c>
      <c r="H55" s="1112">
        <v>0</v>
      </c>
      <c r="I55" s="270">
        <v>2383302</v>
      </c>
      <c r="J55" s="270">
        <v>0</v>
      </c>
      <c r="K55" s="270">
        <v>50666119</v>
      </c>
      <c r="L55" s="270">
        <v>0</v>
      </c>
      <c r="M55" s="1112">
        <v>0</v>
      </c>
      <c r="N55" s="270">
        <v>0</v>
      </c>
      <c r="O55" s="270">
        <v>0</v>
      </c>
      <c r="P55" s="270">
        <v>0</v>
      </c>
      <c r="Q55" s="270">
        <v>0</v>
      </c>
      <c r="R55" s="270">
        <v>0</v>
      </c>
      <c r="S55" s="270">
        <v>0</v>
      </c>
      <c r="T55" s="270">
        <v>0</v>
      </c>
      <c r="U55" s="270">
        <v>0</v>
      </c>
      <c r="V55" s="270">
        <v>0</v>
      </c>
      <c r="W55" s="270">
        <v>0</v>
      </c>
      <c r="X55" s="270">
        <v>0</v>
      </c>
      <c r="Y55" s="1112">
        <v>0</v>
      </c>
      <c r="Z55" s="270">
        <v>0</v>
      </c>
      <c r="AA55" s="270">
        <v>23040186</v>
      </c>
      <c r="AB55" s="270">
        <v>0</v>
      </c>
      <c r="AC55" s="270">
        <v>0</v>
      </c>
      <c r="AD55" s="270">
        <v>0</v>
      </c>
      <c r="AE55" s="270">
        <v>0</v>
      </c>
      <c r="AF55" s="270">
        <v>0</v>
      </c>
      <c r="AG55" s="270">
        <v>0</v>
      </c>
      <c r="AH55" s="270">
        <v>0</v>
      </c>
      <c r="AI55" s="270">
        <v>0</v>
      </c>
      <c r="AJ55" s="1112">
        <v>0</v>
      </c>
      <c r="AK55" s="270">
        <v>0</v>
      </c>
      <c r="AL55" s="270">
        <v>0</v>
      </c>
      <c r="AM55" s="270">
        <v>0</v>
      </c>
      <c r="AN55" s="1112">
        <v>0</v>
      </c>
      <c r="AO55" s="270">
        <v>0</v>
      </c>
      <c r="AP55" s="270">
        <v>0</v>
      </c>
      <c r="AQ55" s="270">
        <v>0</v>
      </c>
      <c r="AR55" s="270">
        <v>0</v>
      </c>
      <c r="AS55" s="270">
        <v>0</v>
      </c>
      <c r="AT55" s="270">
        <v>0</v>
      </c>
      <c r="AU55" s="270">
        <v>0</v>
      </c>
      <c r="AV55" s="270">
        <v>0</v>
      </c>
      <c r="AW55" s="270">
        <v>0</v>
      </c>
      <c r="AX55" s="270">
        <v>0</v>
      </c>
      <c r="AY55" s="270">
        <v>21038132</v>
      </c>
      <c r="AZ55" s="270">
        <v>0</v>
      </c>
      <c r="BA55" s="270">
        <v>0</v>
      </c>
      <c r="BB55" s="270">
        <v>0</v>
      </c>
      <c r="BC55" s="270">
        <v>0</v>
      </c>
      <c r="BD55" s="270">
        <v>0</v>
      </c>
      <c r="BE55" s="270">
        <v>255478</v>
      </c>
      <c r="BF55" s="270">
        <v>0</v>
      </c>
      <c r="BG55" s="270">
        <v>0</v>
      </c>
      <c r="BH55" s="1112">
        <v>33861938</v>
      </c>
      <c r="BI55" s="270">
        <v>0</v>
      </c>
      <c r="BJ55" s="270">
        <v>0</v>
      </c>
      <c r="BK55" s="270">
        <v>0</v>
      </c>
      <c r="BL55" s="270">
        <v>9465156</v>
      </c>
      <c r="BM55" s="270">
        <v>0</v>
      </c>
      <c r="BN55" s="270">
        <v>0</v>
      </c>
      <c r="BO55" s="270">
        <v>0</v>
      </c>
      <c r="BP55" s="270">
        <v>0</v>
      </c>
      <c r="BQ55" s="270">
        <v>0</v>
      </c>
      <c r="BR55" s="270">
        <v>0</v>
      </c>
      <c r="BS55" s="270">
        <v>0</v>
      </c>
      <c r="BT55" s="298">
        <v>0</v>
      </c>
      <c r="BU55" s="298">
        <v>0</v>
      </c>
      <c r="BV55" s="298">
        <v>0</v>
      </c>
      <c r="BW55" s="298">
        <v>0</v>
      </c>
      <c r="BX55" s="298">
        <v>0</v>
      </c>
      <c r="BY55" s="298">
        <v>0</v>
      </c>
      <c r="BZ55" s="298">
        <v>0</v>
      </c>
      <c r="CA55" s="298">
        <v>0</v>
      </c>
      <c r="CB55" s="298">
        <v>0</v>
      </c>
      <c r="CC55" s="298">
        <v>126910289</v>
      </c>
      <c r="CD55" s="298">
        <v>0</v>
      </c>
      <c r="CE55" s="298">
        <v>5533147</v>
      </c>
      <c r="CF55" s="298">
        <v>0</v>
      </c>
      <c r="CG55" s="298">
        <v>0</v>
      </c>
      <c r="CH55" s="298">
        <v>0</v>
      </c>
      <c r="CI55" s="298">
        <v>7110807</v>
      </c>
      <c r="CJ55" s="298">
        <v>0</v>
      </c>
      <c r="CK55" s="298">
        <v>0</v>
      </c>
      <c r="CL55" s="298">
        <v>0</v>
      </c>
      <c r="CM55" s="298">
        <v>0</v>
      </c>
      <c r="CN55" s="298">
        <v>0</v>
      </c>
      <c r="CO55" s="298">
        <v>0</v>
      </c>
      <c r="CP55" s="298">
        <v>0</v>
      </c>
      <c r="CQ55" s="298">
        <v>0</v>
      </c>
    </row>
    <row r="56" spans="1:95" x14ac:dyDescent="0.3">
      <c r="A56" s="270">
        <v>94</v>
      </c>
      <c r="B56" s="270">
        <v>94</v>
      </c>
      <c r="C56" s="270" t="s">
        <v>240</v>
      </c>
      <c r="D56" s="270" t="s">
        <v>359</v>
      </c>
      <c r="E56" s="270">
        <v>0</v>
      </c>
      <c r="F56" s="270">
        <v>0</v>
      </c>
      <c r="G56" s="270">
        <v>0</v>
      </c>
      <c r="H56" s="1112">
        <v>0</v>
      </c>
      <c r="I56" s="270">
        <v>1856886</v>
      </c>
      <c r="J56" s="270">
        <v>0</v>
      </c>
      <c r="K56" s="270">
        <v>42427746</v>
      </c>
      <c r="L56" s="270">
        <v>0</v>
      </c>
      <c r="M56" s="1112">
        <v>0</v>
      </c>
      <c r="N56" s="270">
        <v>0</v>
      </c>
      <c r="O56" s="270">
        <v>0</v>
      </c>
      <c r="P56" s="270">
        <v>0</v>
      </c>
      <c r="Q56" s="270">
        <v>0</v>
      </c>
      <c r="R56" s="270">
        <v>0</v>
      </c>
      <c r="S56" s="270">
        <v>0</v>
      </c>
      <c r="T56" s="270">
        <v>0</v>
      </c>
      <c r="U56" s="270">
        <v>0</v>
      </c>
      <c r="V56" s="270">
        <v>0</v>
      </c>
      <c r="W56" s="270">
        <v>0</v>
      </c>
      <c r="X56" s="270">
        <v>0</v>
      </c>
      <c r="Y56" s="1112">
        <v>0</v>
      </c>
      <c r="Z56" s="270">
        <v>0</v>
      </c>
      <c r="AA56" s="270">
        <v>23399680</v>
      </c>
      <c r="AB56" s="270">
        <v>0</v>
      </c>
      <c r="AC56" s="270">
        <v>0</v>
      </c>
      <c r="AD56" s="270">
        <v>0</v>
      </c>
      <c r="AE56" s="270">
        <v>0</v>
      </c>
      <c r="AF56" s="270">
        <v>0</v>
      </c>
      <c r="AG56" s="270">
        <v>0</v>
      </c>
      <c r="AH56" s="270">
        <v>0</v>
      </c>
      <c r="AI56" s="270">
        <v>0</v>
      </c>
      <c r="AJ56" s="1112">
        <v>0</v>
      </c>
      <c r="AK56" s="270">
        <v>0</v>
      </c>
      <c r="AL56" s="270">
        <v>0</v>
      </c>
      <c r="AM56" s="270">
        <v>0</v>
      </c>
      <c r="AN56" s="1112">
        <v>0</v>
      </c>
      <c r="AO56" s="270">
        <v>0</v>
      </c>
      <c r="AP56" s="270">
        <v>0</v>
      </c>
      <c r="AQ56" s="270">
        <v>0</v>
      </c>
      <c r="AR56" s="270">
        <v>0</v>
      </c>
      <c r="AS56" s="270">
        <v>0</v>
      </c>
      <c r="AT56" s="270">
        <v>0</v>
      </c>
      <c r="AU56" s="270">
        <v>0</v>
      </c>
      <c r="AV56" s="270">
        <v>0</v>
      </c>
      <c r="AW56" s="270">
        <v>0</v>
      </c>
      <c r="AX56" s="270">
        <v>0</v>
      </c>
      <c r="AY56" s="270">
        <v>19565724</v>
      </c>
      <c r="AZ56" s="270">
        <v>0</v>
      </c>
      <c r="BA56" s="270">
        <v>0</v>
      </c>
      <c r="BB56" s="270">
        <v>0</v>
      </c>
      <c r="BC56" s="270">
        <v>0</v>
      </c>
      <c r="BD56" s="270">
        <v>0</v>
      </c>
      <c r="BE56" s="270">
        <v>205075</v>
      </c>
      <c r="BF56" s="270">
        <v>0</v>
      </c>
      <c r="BG56" s="270">
        <v>0</v>
      </c>
      <c r="BH56" s="1112">
        <v>29016388</v>
      </c>
      <c r="BI56" s="270">
        <v>0</v>
      </c>
      <c r="BJ56" s="270">
        <v>0</v>
      </c>
      <c r="BK56" s="270">
        <v>0</v>
      </c>
      <c r="BL56" s="270">
        <v>7315535</v>
      </c>
      <c r="BM56" s="270">
        <v>0</v>
      </c>
      <c r="BN56" s="270">
        <v>0</v>
      </c>
      <c r="BO56" s="270">
        <v>0</v>
      </c>
      <c r="BP56" s="270">
        <v>0</v>
      </c>
      <c r="BQ56" s="270">
        <v>0</v>
      </c>
      <c r="BR56" s="270">
        <v>0</v>
      </c>
      <c r="BS56" s="270">
        <v>0</v>
      </c>
      <c r="BT56" s="298">
        <v>0</v>
      </c>
      <c r="BU56" s="298">
        <v>0</v>
      </c>
      <c r="BV56" s="298">
        <v>0</v>
      </c>
      <c r="BW56" s="298">
        <v>0</v>
      </c>
      <c r="BX56" s="298">
        <v>0</v>
      </c>
      <c r="BY56" s="298">
        <v>0</v>
      </c>
      <c r="BZ56" s="298">
        <v>0</v>
      </c>
      <c r="CA56" s="298">
        <v>0</v>
      </c>
      <c r="CB56" s="298">
        <v>0</v>
      </c>
      <c r="CC56" s="298">
        <v>117799844</v>
      </c>
      <c r="CD56" s="298">
        <v>0</v>
      </c>
      <c r="CE56" s="298">
        <v>4463040</v>
      </c>
      <c r="CF56" s="298">
        <v>0</v>
      </c>
      <c r="CG56" s="298">
        <v>0</v>
      </c>
      <c r="CH56" s="298">
        <v>0</v>
      </c>
      <c r="CI56" s="298">
        <v>6142296</v>
      </c>
      <c r="CJ56" s="298">
        <v>0</v>
      </c>
      <c r="CK56" s="298">
        <v>0</v>
      </c>
      <c r="CL56" s="298">
        <v>0</v>
      </c>
      <c r="CM56" s="298">
        <v>0</v>
      </c>
      <c r="CN56" s="298">
        <v>0</v>
      </c>
      <c r="CO56" s="298">
        <v>0</v>
      </c>
      <c r="CP56" s="298">
        <v>0</v>
      </c>
      <c r="CQ56" s="298">
        <v>0</v>
      </c>
    </row>
    <row r="57" spans="1:95" x14ac:dyDescent="0.3">
      <c r="A57" s="270">
        <v>97</v>
      </c>
      <c r="B57" s="270">
        <v>97</v>
      </c>
      <c r="C57" s="270" t="s">
        <v>236</v>
      </c>
      <c r="D57" s="270" t="s">
        <v>360</v>
      </c>
      <c r="E57" s="270">
        <v>0</v>
      </c>
      <c r="F57" s="270">
        <v>0</v>
      </c>
      <c r="G57" s="270">
        <v>0</v>
      </c>
      <c r="H57" s="1112">
        <v>0</v>
      </c>
      <c r="I57" s="270">
        <v>2343317</v>
      </c>
      <c r="J57" s="270">
        <v>0</v>
      </c>
      <c r="K57" s="270">
        <v>49448144</v>
      </c>
      <c r="L57" s="270">
        <v>0</v>
      </c>
      <c r="M57" s="1112">
        <v>0</v>
      </c>
      <c r="N57" s="270">
        <v>0</v>
      </c>
      <c r="O57" s="270">
        <v>0</v>
      </c>
      <c r="P57" s="270">
        <v>0</v>
      </c>
      <c r="Q57" s="270">
        <v>0</v>
      </c>
      <c r="R57" s="270">
        <v>0</v>
      </c>
      <c r="S57" s="270">
        <v>0</v>
      </c>
      <c r="T57" s="270">
        <v>0</v>
      </c>
      <c r="U57" s="270">
        <v>0</v>
      </c>
      <c r="V57" s="270">
        <v>0</v>
      </c>
      <c r="W57" s="270">
        <v>0</v>
      </c>
      <c r="X57" s="270">
        <v>0</v>
      </c>
      <c r="Y57" s="1112">
        <v>0</v>
      </c>
      <c r="Z57" s="270">
        <v>0</v>
      </c>
      <c r="AA57" s="270">
        <v>22904353</v>
      </c>
      <c r="AB57" s="270">
        <v>0</v>
      </c>
      <c r="AC57" s="270">
        <v>0</v>
      </c>
      <c r="AD57" s="270">
        <v>0</v>
      </c>
      <c r="AE57" s="270">
        <v>0</v>
      </c>
      <c r="AF57" s="270">
        <v>0</v>
      </c>
      <c r="AG57" s="270">
        <v>0</v>
      </c>
      <c r="AH57" s="270">
        <v>0</v>
      </c>
      <c r="AI57" s="270">
        <v>0</v>
      </c>
      <c r="AJ57" s="1112">
        <v>0</v>
      </c>
      <c r="AK57" s="270">
        <v>0</v>
      </c>
      <c r="AL57" s="270">
        <v>0</v>
      </c>
      <c r="AM57" s="270">
        <v>0</v>
      </c>
      <c r="AN57" s="1112">
        <v>0</v>
      </c>
      <c r="AO57" s="270">
        <v>0</v>
      </c>
      <c r="AP57" s="270">
        <v>0</v>
      </c>
      <c r="AQ57" s="270">
        <v>0</v>
      </c>
      <c r="AR57" s="270">
        <v>0</v>
      </c>
      <c r="AS57" s="270">
        <v>0</v>
      </c>
      <c r="AT57" s="270">
        <v>0</v>
      </c>
      <c r="AU57" s="270">
        <v>0</v>
      </c>
      <c r="AV57" s="270">
        <v>0</v>
      </c>
      <c r="AW57" s="270">
        <v>0</v>
      </c>
      <c r="AX57" s="270">
        <v>0</v>
      </c>
      <c r="AY57" s="270">
        <v>19510794</v>
      </c>
      <c r="AZ57" s="270">
        <v>0</v>
      </c>
      <c r="BA57" s="270">
        <v>0</v>
      </c>
      <c r="BB57" s="270">
        <v>0</v>
      </c>
      <c r="BC57" s="270">
        <v>0</v>
      </c>
      <c r="BD57" s="270">
        <v>0</v>
      </c>
      <c r="BE57" s="270">
        <v>253989</v>
      </c>
      <c r="BF57" s="270">
        <v>0</v>
      </c>
      <c r="BG57" s="270">
        <v>0</v>
      </c>
      <c r="BH57" s="1112">
        <v>33469188</v>
      </c>
      <c r="BI57" s="270">
        <v>0</v>
      </c>
      <c r="BJ57" s="270">
        <v>0</v>
      </c>
      <c r="BK57" s="270">
        <v>0</v>
      </c>
      <c r="BL57" s="270">
        <v>9465156</v>
      </c>
      <c r="BM57" s="270">
        <v>0</v>
      </c>
      <c r="BN57" s="270">
        <v>0</v>
      </c>
      <c r="BO57" s="270">
        <v>0</v>
      </c>
      <c r="BP57" s="270">
        <v>0</v>
      </c>
      <c r="BQ57" s="270">
        <v>0</v>
      </c>
      <c r="BR57" s="270">
        <v>0</v>
      </c>
      <c r="BS57" s="270">
        <v>0</v>
      </c>
      <c r="BT57" s="298">
        <v>0</v>
      </c>
      <c r="BU57" s="298">
        <v>0</v>
      </c>
      <c r="BV57" s="298">
        <v>0</v>
      </c>
      <c r="BW57" s="298">
        <v>0</v>
      </c>
      <c r="BX57" s="298">
        <v>0</v>
      </c>
      <c r="BY57" s="298">
        <v>0</v>
      </c>
      <c r="BZ57" s="298">
        <v>0</v>
      </c>
      <c r="CA57" s="298">
        <v>0</v>
      </c>
      <c r="CB57" s="298">
        <v>0</v>
      </c>
      <c r="CC57" s="298">
        <v>125141145</v>
      </c>
      <c r="CD57" s="298">
        <v>0</v>
      </c>
      <c r="CE57" s="298">
        <v>5493425</v>
      </c>
      <c r="CF57" s="298">
        <v>0</v>
      </c>
      <c r="CG57" s="298">
        <v>0</v>
      </c>
      <c r="CH57" s="298">
        <v>0</v>
      </c>
      <c r="CI57" s="298">
        <v>7020007</v>
      </c>
      <c r="CJ57" s="298">
        <v>0</v>
      </c>
      <c r="CK57" s="298">
        <v>0</v>
      </c>
      <c r="CL57" s="298">
        <v>0</v>
      </c>
      <c r="CM57" s="298">
        <v>0</v>
      </c>
      <c r="CN57" s="298">
        <v>0</v>
      </c>
      <c r="CO57" s="298">
        <v>0</v>
      </c>
      <c r="CP57" s="298">
        <v>0</v>
      </c>
      <c r="CQ57" s="298">
        <v>0</v>
      </c>
    </row>
    <row r="58" spans="1:95" x14ac:dyDescent="0.3">
      <c r="A58" s="270">
        <v>98</v>
      </c>
      <c r="B58" s="270">
        <v>98</v>
      </c>
      <c r="C58" s="270" t="s">
        <v>241</v>
      </c>
      <c r="D58" s="270" t="s">
        <v>361</v>
      </c>
      <c r="E58" s="270">
        <v>0</v>
      </c>
      <c r="F58" s="270">
        <v>0</v>
      </c>
      <c r="G58" s="270">
        <v>0</v>
      </c>
      <c r="H58" s="1112">
        <v>0</v>
      </c>
      <c r="I58" s="270">
        <v>0</v>
      </c>
      <c r="J58" s="270">
        <v>0</v>
      </c>
      <c r="K58" s="270">
        <v>0</v>
      </c>
      <c r="L58" s="270">
        <v>0</v>
      </c>
      <c r="M58" s="1112">
        <v>0</v>
      </c>
      <c r="N58" s="270">
        <v>0</v>
      </c>
      <c r="O58" s="270">
        <v>0</v>
      </c>
      <c r="P58" s="270">
        <v>0</v>
      </c>
      <c r="Q58" s="270">
        <v>0</v>
      </c>
      <c r="R58" s="270">
        <v>0</v>
      </c>
      <c r="S58" s="270">
        <v>0</v>
      </c>
      <c r="T58" s="270">
        <v>0</v>
      </c>
      <c r="U58" s="270">
        <v>0</v>
      </c>
      <c r="V58" s="270">
        <v>0</v>
      </c>
      <c r="W58" s="270">
        <v>0</v>
      </c>
      <c r="X58" s="270">
        <v>0</v>
      </c>
      <c r="Y58" s="1112">
        <v>0</v>
      </c>
      <c r="Z58" s="270">
        <v>0</v>
      </c>
      <c r="AA58" s="270">
        <v>109</v>
      </c>
      <c r="AB58" s="270">
        <v>0</v>
      </c>
      <c r="AC58" s="270">
        <v>0</v>
      </c>
      <c r="AD58" s="270">
        <v>0</v>
      </c>
      <c r="AE58" s="270">
        <v>0</v>
      </c>
      <c r="AF58" s="270">
        <v>0</v>
      </c>
      <c r="AG58" s="270">
        <v>0</v>
      </c>
      <c r="AH58" s="270">
        <v>0</v>
      </c>
      <c r="AI58" s="270">
        <v>0</v>
      </c>
      <c r="AJ58" s="270">
        <v>0</v>
      </c>
      <c r="AK58" s="270">
        <v>0</v>
      </c>
      <c r="AL58" s="270">
        <v>0</v>
      </c>
      <c r="AM58" s="270">
        <v>0</v>
      </c>
      <c r="AN58" s="270">
        <v>0</v>
      </c>
      <c r="AO58" s="270">
        <v>0</v>
      </c>
      <c r="AP58" s="270">
        <v>0</v>
      </c>
      <c r="AQ58" s="270">
        <v>0</v>
      </c>
      <c r="AR58" s="270">
        <v>0</v>
      </c>
      <c r="AS58" s="270">
        <v>0</v>
      </c>
      <c r="AT58" s="270">
        <v>0</v>
      </c>
      <c r="AU58" s="270">
        <v>0</v>
      </c>
      <c r="AV58" s="270">
        <v>0</v>
      </c>
      <c r="AW58" s="270">
        <v>0</v>
      </c>
      <c r="AX58" s="270">
        <v>0</v>
      </c>
      <c r="AY58" s="270">
        <v>114714</v>
      </c>
      <c r="AZ58" s="270">
        <v>0</v>
      </c>
      <c r="BA58" s="270">
        <v>0</v>
      </c>
      <c r="BB58" s="270">
        <v>0</v>
      </c>
      <c r="BC58" s="270">
        <v>0</v>
      </c>
      <c r="BD58" s="270">
        <v>0</v>
      </c>
      <c r="BE58" s="270">
        <v>0</v>
      </c>
      <c r="BF58" s="270">
        <v>0</v>
      </c>
      <c r="BG58" s="270">
        <v>0</v>
      </c>
      <c r="BH58" s="270">
        <v>0</v>
      </c>
      <c r="BI58" s="270">
        <v>0</v>
      </c>
      <c r="BJ58" s="270">
        <v>0</v>
      </c>
      <c r="BK58" s="270">
        <v>0</v>
      </c>
      <c r="BL58" s="270">
        <v>14599</v>
      </c>
      <c r="BM58" s="270">
        <v>0</v>
      </c>
      <c r="BN58" s="270">
        <v>0</v>
      </c>
      <c r="BO58" s="270">
        <v>0</v>
      </c>
      <c r="BP58" s="270">
        <v>0</v>
      </c>
      <c r="BQ58" s="270">
        <v>0</v>
      </c>
      <c r="BR58" s="270">
        <v>0</v>
      </c>
      <c r="BS58" s="270">
        <v>0</v>
      </c>
      <c r="BT58" s="298">
        <v>0</v>
      </c>
      <c r="BU58" s="298">
        <v>0</v>
      </c>
      <c r="BV58" s="298">
        <v>0</v>
      </c>
      <c r="BW58" s="298">
        <v>0</v>
      </c>
      <c r="BX58" s="298">
        <v>0</v>
      </c>
      <c r="BY58" s="298">
        <v>0</v>
      </c>
      <c r="BZ58" s="298">
        <v>0</v>
      </c>
      <c r="CA58" s="298">
        <v>0</v>
      </c>
      <c r="CB58" s="298">
        <v>0</v>
      </c>
      <c r="CC58" s="298">
        <v>590507</v>
      </c>
      <c r="CD58" s="298">
        <v>0</v>
      </c>
      <c r="CE58" s="298">
        <v>0</v>
      </c>
      <c r="CF58" s="298">
        <v>0</v>
      </c>
      <c r="CG58" s="298">
        <v>0</v>
      </c>
      <c r="CH58" s="298">
        <v>0</v>
      </c>
      <c r="CI58" s="298">
        <v>37590</v>
      </c>
      <c r="CJ58" s="298">
        <v>0</v>
      </c>
      <c r="CK58" s="298">
        <v>0</v>
      </c>
      <c r="CL58" s="298">
        <v>0</v>
      </c>
      <c r="CM58" s="298">
        <v>0</v>
      </c>
      <c r="CN58" s="298">
        <v>0</v>
      </c>
      <c r="CO58" s="298">
        <v>0</v>
      </c>
      <c r="CP58" s="298">
        <v>0</v>
      </c>
      <c r="CQ58" s="298">
        <v>0</v>
      </c>
    </row>
    <row r="59" spans="1:95" x14ac:dyDescent="0.3">
      <c r="A59" s="270">
        <v>99</v>
      </c>
      <c r="B59" s="270">
        <v>99</v>
      </c>
      <c r="C59" s="270" t="s">
        <v>238</v>
      </c>
      <c r="D59" s="270" t="s">
        <v>362</v>
      </c>
      <c r="E59" s="270">
        <v>0</v>
      </c>
      <c r="F59" s="270">
        <v>0</v>
      </c>
      <c r="G59" s="270">
        <v>0</v>
      </c>
      <c r="H59" s="1112">
        <v>0</v>
      </c>
      <c r="I59" s="270">
        <v>1225242</v>
      </c>
      <c r="J59" s="270">
        <v>0</v>
      </c>
      <c r="K59" s="270">
        <v>36157998</v>
      </c>
      <c r="L59" s="270">
        <v>0</v>
      </c>
      <c r="M59" s="1112">
        <v>0</v>
      </c>
      <c r="N59" s="270">
        <v>0</v>
      </c>
      <c r="O59" s="270">
        <v>0</v>
      </c>
      <c r="P59" s="270">
        <v>0</v>
      </c>
      <c r="Q59" s="270">
        <v>0</v>
      </c>
      <c r="R59" s="270">
        <v>0</v>
      </c>
      <c r="S59" s="270">
        <v>0</v>
      </c>
      <c r="T59" s="270">
        <v>0</v>
      </c>
      <c r="U59" s="270">
        <v>0</v>
      </c>
      <c r="V59" s="270">
        <v>0</v>
      </c>
      <c r="W59" s="270">
        <v>0</v>
      </c>
      <c r="X59" s="270">
        <v>0</v>
      </c>
      <c r="Y59" s="1112">
        <v>0</v>
      </c>
      <c r="Z59" s="270">
        <v>0</v>
      </c>
      <c r="AA59" s="270">
        <v>17493355</v>
      </c>
      <c r="AB59" s="270">
        <v>0</v>
      </c>
      <c r="AC59" s="270">
        <v>0</v>
      </c>
      <c r="AD59" s="270">
        <v>0</v>
      </c>
      <c r="AE59" s="270">
        <v>0</v>
      </c>
      <c r="AF59" s="270">
        <v>0</v>
      </c>
      <c r="AG59" s="270">
        <v>0</v>
      </c>
      <c r="AH59" s="270">
        <v>0</v>
      </c>
      <c r="AI59" s="270">
        <v>0</v>
      </c>
      <c r="AJ59" s="1112">
        <v>0</v>
      </c>
      <c r="AK59" s="270">
        <v>0</v>
      </c>
      <c r="AL59" s="270">
        <v>0</v>
      </c>
      <c r="AM59" s="270">
        <v>0</v>
      </c>
      <c r="AN59" s="1112">
        <v>0</v>
      </c>
      <c r="AO59" s="270">
        <v>0</v>
      </c>
      <c r="AP59" s="270">
        <v>0</v>
      </c>
      <c r="AQ59" s="270">
        <v>0</v>
      </c>
      <c r="AR59" s="270">
        <v>0</v>
      </c>
      <c r="AS59" s="270">
        <v>0</v>
      </c>
      <c r="AT59" s="270">
        <v>0</v>
      </c>
      <c r="AU59" s="270">
        <v>0</v>
      </c>
      <c r="AV59" s="270">
        <v>0</v>
      </c>
      <c r="AW59" s="270">
        <v>0</v>
      </c>
      <c r="AX59" s="270">
        <v>0</v>
      </c>
      <c r="AY59" s="270">
        <v>11590898</v>
      </c>
      <c r="AZ59" s="270">
        <v>0</v>
      </c>
      <c r="BA59" s="270">
        <v>0</v>
      </c>
      <c r="BB59" s="270">
        <v>0</v>
      </c>
      <c r="BC59" s="270">
        <v>0</v>
      </c>
      <c r="BD59" s="270">
        <v>0</v>
      </c>
      <c r="BE59" s="270">
        <v>181191</v>
      </c>
      <c r="BF59" s="270">
        <v>0</v>
      </c>
      <c r="BG59" s="270">
        <v>0</v>
      </c>
      <c r="BH59" s="1112">
        <v>22123170</v>
      </c>
      <c r="BI59" s="270">
        <v>0</v>
      </c>
      <c r="BJ59" s="270">
        <v>0</v>
      </c>
      <c r="BK59" s="270">
        <v>0</v>
      </c>
      <c r="BL59" s="270">
        <v>5508920</v>
      </c>
      <c r="BM59" s="270">
        <v>0</v>
      </c>
      <c r="BN59" s="270">
        <v>0</v>
      </c>
      <c r="BO59" s="270">
        <v>0</v>
      </c>
      <c r="BP59" s="270">
        <v>0</v>
      </c>
      <c r="BQ59" s="270">
        <v>0</v>
      </c>
      <c r="BR59" s="270">
        <v>0</v>
      </c>
      <c r="BS59" s="270">
        <v>0</v>
      </c>
      <c r="BT59" s="298">
        <v>0</v>
      </c>
      <c r="BU59" s="298">
        <v>0</v>
      </c>
      <c r="BV59" s="298">
        <v>0</v>
      </c>
      <c r="BW59" s="298">
        <v>0</v>
      </c>
      <c r="BX59" s="298">
        <v>0</v>
      </c>
      <c r="BY59" s="298">
        <v>0</v>
      </c>
      <c r="BZ59" s="298">
        <v>0</v>
      </c>
      <c r="CA59" s="298">
        <v>0</v>
      </c>
      <c r="CB59" s="298">
        <v>0</v>
      </c>
      <c r="CC59" s="298">
        <v>83861713</v>
      </c>
      <c r="CD59" s="298">
        <v>0</v>
      </c>
      <c r="CE59" s="298">
        <v>3111569</v>
      </c>
      <c r="CF59" s="298">
        <v>0</v>
      </c>
      <c r="CG59" s="298">
        <v>0</v>
      </c>
      <c r="CH59" s="298">
        <v>0</v>
      </c>
      <c r="CI59" s="298">
        <v>3601454</v>
      </c>
      <c r="CJ59" s="298">
        <v>0</v>
      </c>
      <c r="CK59" s="298">
        <v>0</v>
      </c>
      <c r="CL59" s="298">
        <v>0</v>
      </c>
      <c r="CM59" s="298">
        <v>0</v>
      </c>
      <c r="CN59" s="298">
        <v>0</v>
      </c>
      <c r="CO59" s="298">
        <v>0</v>
      </c>
      <c r="CP59" s="298">
        <v>0</v>
      </c>
      <c r="CQ59" s="298">
        <v>0</v>
      </c>
    </row>
    <row r="60" spans="1:95" x14ac:dyDescent="0.3">
      <c r="A60" s="270">
        <v>100</v>
      </c>
      <c r="B60" s="270">
        <v>100</v>
      </c>
      <c r="C60" s="270" t="s">
        <v>251</v>
      </c>
      <c r="D60" s="270" t="s">
        <v>363</v>
      </c>
      <c r="E60" s="270">
        <v>0</v>
      </c>
      <c r="F60" s="270">
        <v>0</v>
      </c>
      <c r="G60" s="270">
        <v>0</v>
      </c>
      <c r="H60" s="1112">
        <v>0</v>
      </c>
      <c r="I60" s="270">
        <v>0</v>
      </c>
      <c r="J60" s="270">
        <v>0</v>
      </c>
      <c r="K60" s="270">
        <v>0</v>
      </c>
      <c r="L60" s="270">
        <v>0</v>
      </c>
      <c r="M60" s="1112">
        <v>0</v>
      </c>
      <c r="N60" s="270">
        <v>0</v>
      </c>
      <c r="O60" s="270">
        <v>0</v>
      </c>
      <c r="P60" s="270">
        <v>0</v>
      </c>
      <c r="Q60" s="270">
        <v>0</v>
      </c>
      <c r="R60" s="270">
        <v>0</v>
      </c>
      <c r="S60" s="270">
        <v>0</v>
      </c>
      <c r="T60" s="270">
        <v>0</v>
      </c>
      <c r="U60" s="270">
        <v>0</v>
      </c>
      <c r="V60" s="270">
        <v>0</v>
      </c>
      <c r="W60" s="270">
        <v>0</v>
      </c>
      <c r="X60" s="270">
        <v>0</v>
      </c>
      <c r="Y60" s="1112">
        <v>0</v>
      </c>
      <c r="Z60" s="270">
        <v>0</v>
      </c>
      <c r="AA60" s="270">
        <v>18993</v>
      </c>
      <c r="AB60" s="270">
        <v>0</v>
      </c>
      <c r="AC60" s="270">
        <v>0</v>
      </c>
      <c r="AD60" s="270">
        <v>0</v>
      </c>
      <c r="AE60" s="270">
        <v>0</v>
      </c>
      <c r="AF60" s="270">
        <v>0</v>
      </c>
      <c r="AG60" s="270">
        <v>0</v>
      </c>
      <c r="AH60" s="270">
        <v>0</v>
      </c>
      <c r="AI60" s="270">
        <v>0</v>
      </c>
      <c r="AJ60" s="270">
        <v>0</v>
      </c>
      <c r="AK60" s="270">
        <v>0</v>
      </c>
      <c r="AL60" s="270">
        <v>0</v>
      </c>
      <c r="AM60" s="270">
        <v>0</v>
      </c>
      <c r="AN60" s="270">
        <v>0</v>
      </c>
      <c r="AO60" s="270">
        <v>0</v>
      </c>
      <c r="AP60" s="270">
        <v>0</v>
      </c>
      <c r="AQ60" s="270">
        <v>0</v>
      </c>
      <c r="AR60" s="270">
        <v>0</v>
      </c>
      <c r="AS60" s="270">
        <v>0</v>
      </c>
      <c r="AT60" s="270">
        <v>0</v>
      </c>
      <c r="AU60" s="270">
        <v>0</v>
      </c>
      <c r="AV60" s="270">
        <v>0</v>
      </c>
      <c r="AW60" s="270">
        <v>0</v>
      </c>
      <c r="AX60" s="270">
        <v>0</v>
      </c>
      <c r="AY60" s="270">
        <v>928778</v>
      </c>
      <c r="AZ60" s="270">
        <v>0</v>
      </c>
      <c r="BA60" s="270">
        <v>0</v>
      </c>
      <c r="BB60" s="270">
        <v>0</v>
      </c>
      <c r="BC60" s="270">
        <v>0</v>
      </c>
      <c r="BD60" s="270">
        <v>0</v>
      </c>
      <c r="BE60" s="270">
        <v>0</v>
      </c>
      <c r="BF60" s="270">
        <v>0</v>
      </c>
      <c r="BG60" s="270">
        <v>0</v>
      </c>
      <c r="BH60" s="270">
        <v>0</v>
      </c>
      <c r="BI60" s="270">
        <v>0</v>
      </c>
      <c r="BJ60" s="270">
        <v>0</v>
      </c>
      <c r="BK60" s="270">
        <v>0</v>
      </c>
      <c r="BL60" s="270">
        <v>329433</v>
      </c>
      <c r="BM60" s="270">
        <v>0</v>
      </c>
      <c r="BN60" s="270">
        <v>0</v>
      </c>
      <c r="BO60" s="270">
        <v>0</v>
      </c>
      <c r="BP60" s="270">
        <v>0</v>
      </c>
      <c r="BQ60" s="270">
        <v>0</v>
      </c>
      <c r="BR60" s="270">
        <v>0</v>
      </c>
      <c r="BS60" s="270">
        <v>0</v>
      </c>
      <c r="BT60" s="298">
        <v>0</v>
      </c>
      <c r="BU60" s="298">
        <v>0</v>
      </c>
      <c r="BV60" s="298">
        <v>0</v>
      </c>
      <c r="BW60" s="298">
        <v>0</v>
      </c>
      <c r="BX60" s="298">
        <v>0</v>
      </c>
      <c r="BY60" s="298">
        <v>0</v>
      </c>
      <c r="BZ60" s="298">
        <v>0</v>
      </c>
      <c r="CA60" s="298">
        <v>0</v>
      </c>
      <c r="CB60" s="298">
        <v>0</v>
      </c>
      <c r="CC60" s="298">
        <v>1206757</v>
      </c>
      <c r="CD60" s="298">
        <v>0</v>
      </c>
      <c r="CE60" s="298">
        <v>0</v>
      </c>
      <c r="CF60" s="298">
        <v>0</v>
      </c>
      <c r="CG60" s="298">
        <v>0</v>
      </c>
      <c r="CH60" s="298">
        <v>0</v>
      </c>
      <c r="CI60" s="298">
        <v>344051</v>
      </c>
      <c r="CJ60" s="298">
        <v>0</v>
      </c>
      <c r="CK60" s="298">
        <v>0</v>
      </c>
      <c r="CL60" s="298">
        <v>0</v>
      </c>
      <c r="CM60" s="298">
        <v>0</v>
      </c>
      <c r="CN60" s="298">
        <v>0</v>
      </c>
      <c r="CO60" s="298">
        <v>0</v>
      </c>
      <c r="CP60" s="298">
        <v>0</v>
      </c>
      <c r="CQ60" s="298">
        <v>0</v>
      </c>
    </row>
    <row r="61" spans="1:95" x14ac:dyDescent="0.3">
      <c r="A61" s="270">
        <v>101</v>
      </c>
      <c r="B61" s="270">
        <v>101</v>
      </c>
      <c r="C61" s="270" t="s">
        <v>250</v>
      </c>
      <c r="D61" s="270" t="s">
        <v>364</v>
      </c>
      <c r="E61" s="270">
        <v>0</v>
      </c>
      <c r="F61" s="270">
        <v>0</v>
      </c>
      <c r="G61" s="270">
        <v>0</v>
      </c>
      <c r="H61" s="1112">
        <v>0</v>
      </c>
      <c r="I61" s="270">
        <v>32489</v>
      </c>
      <c r="J61" s="270">
        <v>0</v>
      </c>
      <c r="K61" s="270">
        <v>2566933</v>
      </c>
      <c r="L61" s="270">
        <v>0</v>
      </c>
      <c r="M61" s="1112">
        <v>0</v>
      </c>
      <c r="N61" s="270">
        <v>0</v>
      </c>
      <c r="O61" s="270">
        <v>0</v>
      </c>
      <c r="P61" s="270">
        <v>0</v>
      </c>
      <c r="Q61" s="270">
        <v>0</v>
      </c>
      <c r="R61" s="270">
        <v>0</v>
      </c>
      <c r="S61" s="270">
        <v>0</v>
      </c>
      <c r="T61" s="270">
        <v>0</v>
      </c>
      <c r="U61" s="270">
        <v>0</v>
      </c>
      <c r="V61" s="270">
        <v>0</v>
      </c>
      <c r="W61" s="270">
        <v>0</v>
      </c>
      <c r="X61" s="270">
        <v>0</v>
      </c>
      <c r="Y61" s="1112">
        <v>0</v>
      </c>
      <c r="Z61" s="270">
        <v>0</v>
      </c>
      <c r="AA61" s="270">
        <v>730355</v>
      </c>
      <c r="AB61" s="270">
        <v>0</v>
      </c>
      <c r="AC61" s="270">
        <v>0</v>
      </c>
      <c r="AD61" s="270">
        <v>0</v>
      </c>
      <c r="AE61" s="270">
        <v>0</v>
      </c>
      <c r="AF61" s="270">
        <v>0</v>
      </c>
      <c r="AG61" s="270">
        <v>0</v>
      </c>
      <c r="AH61" s="270">
        <v>0</v>
      </c>
      <c r="AI61" s="270">
        <v>0</v>
      </c>
      <c r="AJ61" s="270">
        <v>0</v>
      </c>
      <c r="AK61" s="270">
        <v>0</v>
      </c>
      <c r="AL61" s="270">
        <v>0</v>
      </c>
      <c r="AM61" s="270">
        <v>0</v>
      </c>
      <c r="AN61" s="1112">
        <v>0</v>
      </c>
      <c r="AO61" s="270">
        <v>0</v>
      </c>
      <c r="AP61" s="270">
        <v>0</v>
      </c>
      <c r="AQ61" s="270">
        <v>0</v>
      </c>
      <c r="AR61" s="270">
        <v>0</v>
      </c>
      <c r="AS61" s="270">
        <v>0</v>
      </c>
      <c r="AT61" s="270">
        <v>0</v>
      </c>
      <c r="AU61" s="270">
        <v>0</v>
      </c>
      <c r="AV61" s="270">
        <v>0</v>
      </c>
      <c r="AW61" s="270">
        <v>0</v>
      </c>
      <c r="AX61" s="270">
        <v>0</v>
      </c>
      <c r="AY61" s="270">
        <v>4031293</v>
      </c>
      <c r="AZ61" s="270">
        <v>0</v>
      </c>
      <c r="BA61" s="270">
        <v>0</v>
      </c>
      <c r="BB61" s="270">
        <v>0</v>
      </c>
      <c r="BC61" s="270">
        <v>0</v>
      </c>
      <c r="BD61" s="270">
        <v>0</v>
      </c>
      <c r="BE61" s="270">
        <v>0</v>
      </c>
      <c r="BF61" s="270">
        <v>0</v>
      </c>
      <c r="BG61" s="270">
        <v>0</v>
      </c>
      <c r="BH61" s="270">
        <v>3242100</v>
      </c>
      <c r="BI61" s="270">
        <v>0</v>
      </c>
      <c r="BJ61" s="270">
        <v>0</v>
      </c>
      <c r="BK61" s="270">
        <v>0</v>
      </c>
      <c r="BL61" s="270">
        <v>88274</v>
      </c>
      <c r="BM61" s="270">
        <v>0</v>
      </c>
      <c r="BN61" s="270">
        <v>0</v>
      </c>
      <c r="BO61" s="270">
        <v>0</v>
      </c>
      <c r="BP61" s="270">
        <v>0</v>
      </c>
      <c r="BQ61" s="270">
        <v>0</v>
      </c>
      <c r="BR61" s="270">
        <v>0</v>
      </c>
      <c r="BS61" s="270">
        <v>0</v>
      </c>
      <c r="BT61" s="298">
        <v>0</v>
      </c>
      <c r="BU61" s="298">
        <v>0</v>
      </c>
      <c r="BV61" s="298">
        <v>0</v>
      </c>
      <c r="BW61" s="298">
        <v>0</v>
      </c>
      <c r="BX61" s="298">
        <v>0</v>
      </c>
      <c r="BY61" s="298">
        <v>0</v>
      </c>
      <c r="BZ61" s="298">
        <v>0</v>
      </c>
      <c r="CA61" s="298">
        <v>0</v>
      </c>
      <c r="CB61" s="298">
        <v>0</v>
      </c>
      <c r="CC61" s="298">
        <v>12406556</v>
      </c>
      <c r="CD61" s="298">
        <v>0</v>
      </c>
      <c r="CE61" s="298">
        <v>217739</v>
      </c>
      <c r="CF61" s="298">
        <v>0</v>
      </c>
      <c r="CG61" s="298">
        <v>0</v>
      </c>
      <c r="CH61" s="298">
        <v>0</v>
      </c>
      <c r="CI61" s="298">
        <v>638691</v>
      </c>
      <c r="CJ61" s="298">
        <v>0</v>
      </c>
      <c r="CK61" s="298">
        <v>0</v>
      </c>
      <c r="CL61" s="298">
        <v>0</v>
      </c>
      <c r="CM61" s="298">
        <v>0</v>
      </c>
      <c r="CN61" s="298">
        <v>0</v>
      </c>
      <c r="CO61" s="298">
        <v>0</v>
      </c>
      <c r="CP61" s="298">
        <v>0</v>
      </c>
      <c r="CQ61" s="298">
        <v>0</v>
      </c>
    </row>
    <row r="62" spans="1:95" x14ac:dyDescent="0.3">
      <c r="A62" s="270">
        <v>102</v>
      </c>
      <c r="B62" s="270">
        <v>102</v>
      </c>
      <c r="C62" s="270" t="s">
        <v>268</v>
      </c>
      <c r="D62" s="270" t="s">
        <v>365</v>
      </c>
      <c r="E62" s="270">
        <v>98.26</v>
      </c>
      <c r="F62" s="270">
        <v>99.82</v>
      </c>
      <c r="G62" s="270">
        <v>98.03</v>
      </c>
      <c r="H62" s="270">
        <v>99.18</v>
      </c>
      <c r="I62" s="270">
        <v>96.24</v>
      </c>
      <c r="J62" s="270">
        <v>95.42</v>
      </c>
      <c r="K62" s="270">
        <v>98.62</v>
      </c>
      <c r="L62" s="270">
        <v>99.44</v>
      </c>
      <c r="M62" s="270">
        <v>99.47</v>
      </c>
      <c r="N62" s="270">
        <v>0</v>
      </c>
      <c r="O62" s="270">
        <v>98.91</v>
      </c>
      <c r="P62" s="270">
        <v>95.54</v>
      </c>
      <c r="Q62" s="270">
        <v>95.91</v>
      </c>
      <c r="R62" s="270">
        <v>98.77</v>
      </c>
      <c r="S62" s="270">
        <v>99.56</v>
      </c>
      <c r="T62" s="270">
        <v>99.29</v>
      </c>
      <c r="U62" s="270">
        <v>97.66</v>
      </c>
      <c r="V62" s="270">
        <v>99.37</v>
      </c>
      <c r="W62" s="270">
        <v>0</v>
      </c>
      <c r="X62" s="270">
        <v>97.78</v>
      </c>
      <c r="Y62" s="270">
        <v>95.69</v>
      </c>
      <c r="Z62" s="270">
        <v>86.14</v>
      </c>
      <c r="AA62" s="270">
        <v>96.24</v>
      </c>
      <c r="AB62" s="270">
        <v>98.05</v>
      </c>
      <c r="AC62" s="270">
        <v>99.59</v>
      </c>
      <c r="AD62" s="270">
        <v>94.16</v>
      </c>
      <c r="AE62" s="270">
        <v>96.55</v>
      </c>
      <c r="AF62" s="270">
        <v>99.09</v>
      </c>
      <c r="AG62" s="270">
        <v>99.52</v>
      </c>
      <c r="AH62" s="270">
        <v>99.96</v>
      </c>
      <c r="AI62" s="270">
        <v>95.15</v>
      </c>
      <c r="AJ62" s="270">
        <v>99.14</v>
      </c>
      <c r="AK62" s="270">
        <v>100</v>
      </c>
      <c r="AL62" s="270">
        <v>97.48</v>
      </c>
      <c r="AM62" s="270">
        <v>0</v>
      </c>
      <c r="AN62" s="270">
        <v>98.42</v>
      </c>
      <c r="AO62" s="270">
        <v>97.83</v>
      </c>
      <c r="AP62" s="270">
        <v>96.94</v>
      </c>
      <c r="AQ62" s="270">
        <v>97.52</v>
      </c>
      <c r="AR62" s="270">
        <v>95.75</v>
      </c>
      <c r="AS62" s="270">
        <v>96.02</v>
      </c>
      <c r="AT62" s="270">
        <v>99.17</v>
      </c>
      <c r="AU62" s="270">
        <v>97.43</v>
      </c>
      <c r="AV62" s="270">
        <v>98.08</v>
      </c>
      <c r="AW62" s="270">
        <v>93.78</v>
      </c>
      <c r="AX62" s="270">
        <v>87.87</v>
      </c>
      <c r="AY62" s="270">
        <v>99.86</v>
      </c>
      <c r="AZ62" s="270">
        <v>98.91</v>
      </c>
      <c r="BA62" s="270">
        <v>93.46</v>
      </c>
      <c r="BB62" s="270">
        <v>97.89</v>
      </c>
      <c r="BC62" s="270">
        <v>96.78</v>
      </c>
      <c r="BD62" s="270">
        <v>99.89</v>
      </c>
      <c r="BE62" s="270">
        <v>98.41</v>
      </c>
      <c r="BF62" s="270">
        <v>96.96</v>
      </c>
      <c r="BG62" s="270">
        <v>96.7</v>
      </c>
      <c r="BH62" s="270">
        <v>98.07</v>
      </c>
      <c r="BI62" s="270">
        <v>98.4</v>
      </c>
      <c r="BJ62" s="270">
        <v>95.1</v>
      </c>
      <c r="BK62" s="270">
        <v>99.67</v>
      </c>
      <c r="BL62" s="270">
        <v>96.67</v>
      </c>
      <c r="BM62" s="270">
        <v>99.7</v>
      </c>
      <c r="BN62" s="270">
        <v>98.62</v>
      </c>
      <c r="BO62" s="270">
        <v>99.32</v>
      </c>
      <c r="BP62" s="270">
        <v>95.7</v>
      </c>
      <c r="BQ62" s="270">
        <v>99.72</v>
      </c>
      <c r="BR62" s="270">
        <v>0</v>
      </c>
      <c r="BS62" s="270">
        <v>99.63</v>
      </c>
      <c r="BT62" s="298">
        <v>97.37</v>
      </c>
      <c r="BU62" s="298">
        <v>99.95</v>
      </c>
      <c r="BV62" s="298">
        <v>94.43</v>
      </c>
      <c r="BW62" s="298">
        <v>98.06</v>
      </c>
      <c r="BX62" s="298">
        <v>98.88</v>
      </c>
      <c r="BY62" s="298">
        <v>97.82</v>
      </c>
      <c r="BZ62" s="298">
        <v>0</v>
      </c>
      <c r="CA62" s="298">
        <v>92.52</v>
      </c>
      <c r="CB62" s="298">
        <v>99.21</v>
      </c>
      <c r="CC62" s="298">
        <v>98.12</v>
      </c>
      <c r="CD62" s="298">
        <v>99.98</v>
      </c>
      <c r="CE62" s="298">
        <v>97.46</v>
      </c>
      <c r="CF62" s="298">
        <v>94.81</v>
      </c>
      <c r="CG62" s="298">
        <v>99.22</v>
      </c>
      <c r="CH62" s="298">
        <v>99.23</v>
      </c>
      <c r="CI62" s="298">
        <v>98.71</v>
      </c>
      <c r="CJ62" s="298">
        <v>94.87</v>
      </c>
      <c r="CK62" s="298">
        <v>99.75</v>
      </c>
      <c r="CL62" s="298">
        <v>88.01</v>
      </c>
      <c r="CM62" s="298">
        <v>99.68</v>
      </c>
      <c r="CN62" s="298">
        <v>97.95</v>
      </c>
      <c r="CO62" s="298">
        <v>97.83</v>
      </c>
      <c r="CP62" s="298">
        <v>97.1</v>
      </c>
      <c r="CQ62" s="298">
        <v>99.63</v>
      </c>
    </row>
    <row r="63" spans="1:95" x14ac:dyDescent="0.3">
      <c r="A63" s="270">
        <v>103</v>
      </c>
      <c r="B63" s="270">
        <v>103</v>
      </c>
      <c r="C63" s="270" t="s">
        <v>269</v>
      </c>
      <c r="D63" s="270" t="s">
        <v>366</v>
      </c>
      <c r="E63" s="270">
        <v>100</v>
      </c>
      <c r="F63" s="270">
        <v>99.75</v>
      </c>
      <c r="G63" s="270">
        <v>100</v>
      </c>
      <c r="H63" s="270">
        <v>100</v>
      </c>
      <c r="I63" s="270">
        <v>100</v>
      </c>
      <c r="J63" s="270">
        <v>100</v>
      </c>
      <c r="K63" s="270">
        <v>100</v>
      </c>
      <c r="L63" s="270">
        <v>100</v>
      </c>
      <c r="M63" s="270">
        <v>99.65</v>
      </c>
      <c r="N63" s="270">
        <v>0</v>
      </c>
      <c r="O63" s="270">
        <v>100</v>
      </c>
      <c r="P63" s="270">
        <v>100</v>
      </c>
      <c r="Q63" s="270">
        <v>100</v>
      </c>
      <c r="R63" s="270">
        <v>100</v>
      </c>
      <c r="S63" s="270">
        <v>100</v>
      </c>
      <c r="T63" s="270">
        <v>100</v>
      </c>
      <c r="U63" s="270">
        <v>100</v>
      </c>
      <c r="V63" s="270">
        <v>100</v>
      </c>
      <c r="W63" s="270">
        <v>0</v>
      </c>
      <c r="X63" s="270">
        <v>100</v>
      </c>
      <c r="Y63" s="270">
        <v>100</v>
      </c>
      <c r="Z63" s="270">
        <v>100</v>
      </c>
      <c r="AA63" s="270">
        <v>100</v>
      </c>
      <c r="AB63" s="270">
        <v>100</v>
      </c>
      <c r="AC63" s="270">
        <v>100</v>
      </c>
      <c r="AD63" s="270">
        <v>100</v>
      </c>
      <c r="AE63" s="270">
        <v>99.41</v>
      </c>
      <c r="AF63" s="270">
        <v>100</v>
      </c>
      <c r="AG63" s="270">
        <v>99.36</v>
      </c>
      <c r="AH63" s="270">
        <v>100</v>
      </c>
      <c r="AI63" s="270">
        <v>100</v>
      </c>
      <c r="AJ63" s="270">
        <v>100</v>
      </c>
      <c r="AK63" s="270">
        <v>100</v>
      </c>
      <c r="AL63" s="270">
        <v>100</v>
      </c>
      <c r="AM63" s="270">
        <v>0</v>
      </c>
      <c r="AN63" s="270">
        <v>100</v>
      </c>
      <c r="AO63" s="270">
        <v>100</v>
      </c>
      <c r="AP63" s="270">
        <v>90.17</v>
      </c>
      <c r="AQ63" s="270">
        <v>100</v>
      </c>
      <c r="AR63" s="270">
        <v>100</v>
      </c>
      <c r="AS63" s="270">
        <v>100</v>
      </c>
      <c r="AT63" s="270">
        <v>100</v>
      </c>
      <c r="AU63" s="270">
        <v>100</v>
      </c>
      <c r="AV63" s="270">
        <v>99.39</v>
      </c>
      <c r="AW63" s="270">
        <v>100</v>
      </c>
      <c r="AX63" s="270">
        <v>100</v>
      </c>
      <c r="AY63" s="270">
        <v>99.62</v>
      </c>
      <c r="AZ63" s="270">
        <v>100</v>
      </c>
      <c r="BA63" s="270">
        <v>100</v>
      </c>
      <c r="BB63" s="270">
        <v>100</v>
      </c>
      <c r="BC63" s="270">
        <v>100</v>
      </c>
      <c r="BD63" s="270">
        <v>100</v>
      </c>
      <c r="BE63" s="270">
        <v>100</v>
      </c>
      <c r="BF63" s="270">
        <v>100</v>
      </c>
      <c r="BG63" s="270">
        <v>100</v>
      </c>
      <c r="BH63" s="270">
        <v>100</v>
      </c>
      <c r="BI63" s="270">
        <v>100</v>
      </c>
      <c r="BJ63" s="270">
        <v>100</v>
      </c>
      <c r="BK63" s="270">
        <v>100</v>
      </c>
      <c r="BL63" s="270">
        <v>100</v>
      </c>
      <c r="BM63" s="270">
        <v>100</v>
      </c>
      <c r="BN63" s="270">
        <v>100</v>
      </c>
      <c r="BO63" s="270">
        <v>100</v>
      </c>
      <c r="BP63" s="270">
        <v>99.91</v>
      </c>
      <c r="BQ63" s="270">
        <v>100</v>
      </c>
      <c r="BR63" s="270">
        <v>0</v>
      </c>
      <c r="BS63" s="270">
        <v>100</v>
      </c>
      <c r="BT63" s="298">
        <v>100</v>
      </c>
      <c r="BU63" s="298">
        <v>100</v>
      </c>
      <c r="BV63" s="298">
        <v>100</v>
      </c>
      <c r="BW63" s="298">
        <v>100</v>
      </c>
      <c r="BX63" s="298">
        <v>100</v>
      </c>
      <c r="BY63" s="298">
        <v>100</v>
      </c>
      <c r="BZ63" s="298">
        <v>0</v>
      </c>
      <c r="CA63" s="298">
        <v>100</v>
      </c>
      <c r="CB63" s="298">
        <v>100</v>
      </c>
      <c r="CC63" s="298">
        <v>99.65</v>
      </c>
      <c r="CD63" s="298">
        <v>100</v>
      </c>
      <c r="CE63" s="298">
        <v>99.9</v>
      </c>
      <c r="CF63" s="298">
        <v>100</v>
      </c>
      <c r="CG63" s="298">
        <v>100</v>
      </c>
      <c r="CH63" s="298">
        <v>100</v>
      </c>
      <c r="CI63" s="298">
        <v>100</v>
      </c>
      <c r="CJ63" s="298">
        <v>100</v>
      </c>
      <c r="CK63" s="298">
        <v>100</v>
      </c>
      <c r="CL63" s="298">
        <v>100</v>
      </c>
      <c r="CM63" s="298">
        <v>100</v>
      </c>
      <c r="CN63" s="298">
        <v>100</v>
      </c>
      <c r="CO63" s="298">
        <v>100</v>
      </c>
      <c r="CP63" s="298">
        <v>100</v>
      </c>
      <c r="CQ63" s="298">
        <v>98.96</v>
      </c>
    </row>
    <row r="64" spans="1:95" x14ac:dyDescent="0.3">
      <c r="A64" s="270"/>
      <c r="B64" s="270">
        <v>104</v>
      </c>
      <c r="C64" s="270" t="s">
        <v>367</v>
      </c>
      <c r="D64" s="270" t="s">
        <v>368</v>
      </c>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c r="BH64" s="270"/>
      <c r="BI64" s="270"/>
      <c r="BJ64" s="270"/>
      <c r="BK64" s="270"/>
      <c r="BL64" s="270"/>
      <c r="BM64" s="270"/>
      <c r="BN64" s="270"/>
      <c r="BO64" s="270"/>
      <c r="BP64" s="270"/>
      <c r="BQ64" s="270"/>
      <c r="BR64" s="270"/>
      <c r="BS64" s="270"/>
    </row>
    <row r="65" spans="1:95" x14ac:dyDescent="0.3">
      <c r="A65" s="270"/>
      <c r="B65" s="270">
        <v>107</v>
      </c>
      <c r="C65" s="270" t="s">
        <v>632</v>
      </c>
      <c r="D65" s="270" t="s">
        <v>369</v>
      </c>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row>
    <row r="66" spans="1:95" x14ac:dyDescent="0.3">
      <c r="A66" s="270"/>
      <c r="B66" s="270">
        <v>108</v>
      </c>
      <c r="C66" s="270" t="s">
        <v>633</v>
      </c>
      <c r="D66" s="270" t="s">
        <v>370</v>
      </c>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c r="BH66" s="270"/>
      <c r="BI66" s="270"/>
      <c r="BJ66" s="270"/>
      <c r="BK66" s="270"/>
      <c r="BL66" s="270"/>
      <c r="BM66" s="270"/>
      <c r="BN66" s="270"/>
      <c r="BO66" s="270"/>
      <c r="BP66" s="270"/>
      <c r="BQ66" s="270"/>
      <c r="BR66" s="270"/>
      <c r="BS66" s="270"/>
    </row>
    <row r="67" spans="1:95" x14ac:dyDescent="0.3">
      <c r="A67" s="270"/>
      <c r="B67" s="270">
        <v>147</v>
      </c>
      <c r="C67" s="270" t="s">
        <v>371</v>
      </c>
      <c r="D67" s="270" t="s">
        <v>372</v>
      </c>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c r="BC67" s="270"/>
      <c r="BD67" s="270"/>
      <c r="BE67" s="270"/>
      <c r="BF67" s="270"/>
      <c r="BG67" s="270"/>
      <c r="BH67" s="270"/>
      <c r="BI67" s="270"/>
      <c r="BJ67" s="270"/>
      <c r="BK67" s="270"/>
      <c r="BL67" s="270"/>
      <c r="BM67" s="270"/>
      <c r="BN67" s="270"/>
      <c r="BO67" s="270"/>
      <c r="BP67" s="270"/>
      <c r="BQ67" s="270"/>
      <c r="BR67" s="270"/>
      <c r="BS67" s="270"/>
    </row>
    <row r="68" spans="1:95" x14ac:dyDescent="0.3">
      <c r="A68" s="270"/>
      <c r="B68" s="270">
        <v>148</v>
      </c>
      <c r="C68" s="270" t="s">
        <v>373</v>
      </c>
      <c r="D68" s="270" t="s">
        <v>374</v>
      </c>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c r="BH68" s="270"/>
      <c r="BI68" s="270"/>
      <c r="BJ68" s="270"/>
      <c r="BK68" s="270"/>
      <c r="BL68" s="270"/>
      <c r="BM68" s="270"/>
      <c r="BN68" s="270"/>
      <c r="BO68" s="270"/>
      <c r="BP68" s="270"/>
      <c r="BQ68" s="270"/>
      <c r="BR68" s="270"/>
      <c r="BS68" s="270"/>
    </row>
    <row r="69" spans="1:95" x14ac:dyDescent="0.3">
      <c r="A69" s="270"/>
      <c r="B69" s="270">
        <v>149</v>
      </c>
      <c r="C69" s="270" t="s">
        <v>375</v>
      </c>
      <c r="D69" s="270" t="s">
        <v>376</v>
      </c>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0"/>
      <c r="AW69" s="270"/>
      <c r="AX69" s="270"/>
      <c r="AY69" s="270"/>
      <c r="AZ69" s="270"/>
      <c r="BA69" s="270"/>
      <c r="BB69" s="270"/>
      <c r="BC69" s="270"/>
      <c r="BD69" s="270"/>
      <c r="BE69" s="270"/>
      <c r="BF69" s="270"/>
      <c r="BG69" s="270"/>
      <c r="BH69" s="270"/>
      <c r="BI69" s="270"/>
      <c r="BJ69" s="270"/>
      <c r="BK69" s="270"/>
      <c r="BL69" s="270"/>
      <c r="BM69" s="270"/>
      <c r="BN69" s="270"/>
      <c r="BO69" s="270"/>
      <c r="BP69" s="270"/>
      <c r="BQ69" s="270"/>
      <c r="BR69" s="270"/>
      <c r="BS69" s="270"/>
    </row>
    <row r="70" spans="1:95" x14ac:dyDescent="0.3">
      <c r="A70" s="270"/>
      <c r="B70" s="270">
        <v>150</v>
      </c>
      <c r="C70" s="270" t="s">
        <v>377</v>
      </c>
      <c r="D70" s="270" t="s">
        <v>378</v>
      </c>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270"/>
      <c r="AR70" s="270"/>
      <c r="AS70" s="270"/>
      <c r="AT70" s="270"/>
      <c r="AU70" s="270"/>
      <c r="AV70" s="270"/>
      <c r="AW70" s="270"/>
      <c r="AX70" s="270"/>
      <c r="AY70" s="270"/>
      <c r="AZ70" s="270"/>
      <c r="BA70" s="270"/>
      <c r="BB70" s="270"/>
      <c r="BC70" s="270"/>
      <c r="BD70" s="270"/>
      <c r="BE70" s="270"/>
      <c r="BF70" s="270"/>
      <c r="BG70" s="270"/>
      <c r="BH70" s="270"/>
      <c r="BI70" s="270"/>
      <c r="BJ70" s="270"/>
      <c r="BK70" s="270"/>
      <c r="BL70" s="270"/>
      <c r="BM70" s="270"/>
      <c r="BN70" s="270"/>
      <c r="BO70" s="270"/>
      <c r="BP70" s="270"/>
      <c r="BQ70" s="270"/>
      <c r="BR70" s="270"/>
      <c r="BS70" s="270"/>
    </row>
    <row r="71" spans="1:95" x14ac:dyDescent="0.3">
      <c r="A71" s="270">
        <v>171</v>
      </c>
      <c r="B71" s="270">
        <v>171</v>
      </c>
      <c r="C71" s="270" t="s">
        <v>217</v>
      </c>
      <c r="D71" s="270" t="s">
        <v>379</v>
      </c>
      <c r="E71" s="1112">
        <v>0</v>
      </c>
      <c r="F71" s="1112">
        <v>0</v>
      </c>
      <c r="G71" s="270">
        <v>0</v>
      </c>
      <c r="H71" s="1112">
        <v>177270</v>
      </c>
      <c r="I71" s="270">
        <v>0</v>
      </c>
      <c r="J71" s="1112">
        <v>8541</v>
      </c>
      <c r="K71" s="1112">
        <v>975537</v>
      </c>
      <c r="L71" s="270">
        <v>33446</v>
      </c>
      <c r="M71" s="1112">
        <v>0</v>
      </c>
      <c r="N71" s="270">
        <v>0</v>
      </c>
      <c r="O71" s="1112">
        <v>58635</v>
      </c>
      <c r="P71" s="270">
        <v>0</v>
      </c>
      <c r="Q71" s="1112">
        <v>0</v>
      </c>
      <c r="R71" s="1112">
        <v>300678</v>
      </c>
      <c r="S71" s="270">
        <v>0</v>
      </c>
      <c r="T71" s="1112">
        <v>51733</v>
      </c>
      <c r="U71" s="1112">
        <v>719799</v>
      </c>
      <c r="V71" s="1112">
        <v>260470</v>
      </c>
      <c r="W71" s="270">
        <v>0</v>
      </c>
      <c r="X71" s="270">
        <v>271087</v>
      </c>
      <c r="Y71" s="1112">
        <v>51221</v>
      </c>
      <c r="Z71" s="270">
        <v>0</v>
      </c>
      <c r="AA71" s="1112">
        <v>0</v>
      </c>
      <c r="AB71" s="1112">
        <v>67125</v>
      </c>
      <c r="AC71" s="1112">
        <v>0</v>
      </c>
      <c r="AD71" s="1112">
        <v>0</v>
      </c>
      <c r="AE71" s="270">
        <v>1486442</v>
      </c>
      <c r="AF71" s="1112">
        <v>34444</v>
      </c>
      <c r="AG71" s="270">
        <v>175674</v>
      </c>
      <c r="AH71" s="1112">
        <v>0</v>
      </c>
      <c r="AI71" s="1112">
        <v>0</v>
      </c>
      <c r="AJ71" s="1112">
        <v>0</v>
      </c>
      <c r="AK71" s="1112">
        <v>388828</v>
      </c>
      <c r="AL71" s="270">
        <v>111113</v>
      </c>
      <c r="AM71" s="270">
        <v>0</v>
      </c>
      <c r="AN71" s="1112">
        <v>0</v>
      </c>
      <c r="AO71" s="270">
        <v>0</v>
      </c>
      <c r="AP71" s="1112">
        <v>448002</v>
      </c>
      <c r="AQ71" s="270">
        <v>0</v>
      </c>
      <c r="AR71" s="1112">
        <v>6064</v>
      </c>
      <c r="AS71" s="1112">
        <v>0</v>
      </c>
      <c r="AT71" s="1112">
        <v>48083</v>
      </c>
      <c r="AU71" s="270">
        <v>0</v>
      </c>
      <c r="AV71" s="270">
        <v>12337</v>
      </c>
      <c r="AW71" s="1112">
        <v>246241</v>
      </c>
      <c r="AX71" s="1112">
        <v>27013</v>
      </c>
      <c r="AY71" s="1112">
        <v>6703678</v>
      </c>
      <c r="AZ71" s="270">
        <v>0</v>
      </c>
      <c r="BA71" s="270">
        <v>353142</v>
      </c>
      <c r="BB71" s="1112">
        <v>0</v>
      </c>
      <c r="BC71" s="1112">
        <v>31130</v>
      </c>
      <c r="BD71" s="270">
        <v>0</v>
      </c>
      <c r="BE71" s="270">
        <v>0</v>
      </c>
      <c r="BF71" s="1112">
        <v>36900</v>
      </c>
      <c r="BG71" s="270">
        <v>73957</v>
      </c>
      <c r="BH71" s="1112">
        <v>170584</v>
      </c>
      <c r="BI71" s="1112">
        <v>0</v>
      </c>
      <c r="BJ71" s="270">
        <v>0</v>
      </c>
      <c r="BK71" s="1112">
        <v>526564</v>
      </c>
      <c r="BL71" s="270">
        <v>953554</v>
      </c>
      <c r="BM71" s="270">
        <v>378337</v>
      </c>
      <c r="BN71" s="270">
        <v>0</v>
      </c>
      <c r="BO71" s="270">
        <v>0</v>
      </c>
      <c r="BP71" s="1112">
        <v>0</v>
      </c>
      <c r="BQ71" s="1112">
        <v>0</v>
      </c>
      <c r="BR71" s="1112">
        <v>0</v>
      </c>
      <c r="BS71" s="1112">
        <v>0</v>
      </c>
      <c r="BT71" s="298">
        <v>83208</v>
      </c>
      <c r="BU71" s="298">
        <v>96481</v>
      </c>
      <c r="BV71" s="298">
        <v>0</v>
      </c>
      <c r="BW71" s="298">
        <v>48642</v>
      </c>
      <c r="BX71" s="298">
        <v>467301</v>
      </c>
      <c r="BY71" s="298">
        <v>0</v>
      </c>
      <c r="BZ71" s="298">
        <v>0</v>
      </c>
      <c r="CA71" s="298">
        <v>285768</v>
      </c>
      <c r="CB71" s="298">
        <v>16172699</v>
      </c>
      <c r="CC71" s="298">
        <v>359731</v>
      </c>
      <c r="CD71" s="298">
        <v>51044</v>
      </c>
      <c r="CE71" s="298">
        <v>0</v>
      </c>
      <c r="CF71" s="298">
        <v>36632</v>
      </c>
      <c r="CG71" s="298">
        <v>98492</v>
      </c>
      <c r="CH71" s="298">
        <v>44067860</v>
      </c>
      <c r="CI71" s="298">
        <v>625505</v>
      </c>
      <c r="CJ71" s="298">
        <v>60277</v>
      </c>
      <c r="CK71" s="298">
        <v>271529</v>
      </c>
      <c r="CL71" s="298">
        <v>26209</v>
      </c>
      <c r="CM71" s="298">
        <v>487468</v>
      </c>
      <c r="CN71" s="298">
        <v>56837</v>
      </c>
      <c r="CO71" s="298">
        <v>98493</v>
      </c>
      <c r="CP71" s="298">
        <v>188367</v>
      </c>
      <c r="CQ71" s="298">
        <v>905186</v>
      </c>
    </row>
    <row r="72" spans="1:95" x14ac:dyDescent="0.3">
      <c r="A72" s="270">
        <v>191</v>
      </c>
      <c r="B72" s="270">
        <v>191</v>
      </c>
      <c r="C72" s="270" t="s">
        <v>233</v>
      </c>
      <c r="D72" s="270" t="s">
        <v>380</v>
      </c>
      <c r="E72" s="270">
        <v>0</v>
      </c>
      <c r="F72" s="270">
        <v>0</v>
      </c>
      <c r="G72" s="270">
        <v>0</v>
      </c>
      <c r="H72" s="270">
        <v>0</v>
      </c>
      <c r="I72" s="270">
        <v>516681</v>
      </c>
      <c r="J72" s="1112">
        <v>0</v>
      </c>
      <c r="K72" s="270">
        <v>39494</v>
      </c>
      <c r="L72" s="270">
        <v>0</v>
      </c>
      <c r="M72" s="1112">
        <v>0</v>
      </c>
      <c r="N72" s="270">
        <v>0</v>
      </c>
      <c r="O72" s="270">
        <v>1908281</v>
      </c>
      <c r="P72" s="270">
        <v>0</v>
      </c>
      <c r="Q72" s="270">
        <v>0</v>
      </c>
      <c r="R72" s="1112">
        <v>0</v>
      </c>
      <c r="S72" s="270">
        <v>0</v>
      </c>
      <c r="T72" s="270">
        <v>0</v>
      </c>
      <c r="U72" s="270">
        <v>0</v>
      </c>
      <c r="V72" s="1112">
        <v>0</v>
      </c>
      <c r="W72" s="1112">
        <v>0</v>
      </c>
      <c r="X72" s="270">
        <v>0</v>
      </c>
      <c r="Y72" s="270">
        <v>1861670</v>
      </c>
      <c r="Z72" s="270">
        <v>0</v>
      </c>
      <c r="AA72" s="1112">
        <v>276912</v>
      </c>
      <c r="AB72" s="1112">
        <v>19614</v>
      </c>
      <c r="AC72" s="1112">
        <v>0</v>
      </c>
      <c r="AD72" s="270">
        <v>0</v>
      </c>
      <c r="AE72" s="270">
        <v>0</v>
      </c>
      <c r="AF72" s="270">
        <v>0</v>
      </c>
      <c r="AG72" s="270">
        <v>0</v>
      </c>
      <c r="AH72" s="1112">
        <v>0</v>
      </c>
      <c r="AI72" s="270">
        <v>3191162</v>
      </c>
      <c r="AJ72" s="270">
        <v>0</v>
      </c>
      <c r="AK72" s="1112">
        <v>0</v>
      </c>
      <c r="AL72" s="270">
        <v>1089192</v>
      </c>
      <c r="AM72" s="270">
        <v>0</v>
      </c>
      <c r="AN72" s="1112">
        <v>0</v>
      </c>
      <c r="AO72" s="270">
        <v>0</v>
      </c>
      <c r="AP72" s="270">
        <v>1111132</v>
      </c>
      <c r="AQ72" s="270">
        <v>0</v>
      </c>
      <c r="AR72" s="1112">
        <v>0</v>
      </c>
      <c r="AS72" s="270">
        <v>0</v>
      </c>
      <c r="AT72" s="270">
        <v>0</v>
      </c>
      <c r="AU72" s="270">
        <v>0</v>
      </c>
      <c r="AV72" s="270">
        <v>0</v>
      </c>
      <c r="AW72" s="1112">
        <v>49000</v>
      </c>
      <c r="AX72" s="1112">
        <v>0</v>
      </c>
      <c r="AY72" s="270">
        <v>0</v>
      </c>
      <c r="AZ72" s="270">
        <v>0</v>
      </c>
      <c r="BA72" s="270">
        <v>111115</v>
      </c>
      <c r="BB72" s="270">
        <v>0</v>
      </c>
      <c r="BC72" s="270">
        <v>0</v>
      </c>
      <c r="BD72" s="270">
        <v>0</v>
      </c>
      <c r="BE72" s="270">
        <v>0</v>
      </c>
      <c r="BF72" s="270">
        <v>2107664</v>
      </c>
      <c r="BG72" s="270">
        <v>981417</v>
      </c>
      <c r="BH72" s="270">
        <v>176171</v>
      </c>
      <c r="BI72" s="270">
        <v>0</v>
      </c>
      <c r="BJ72" s="270">
        <v>0</v>
      </c>
      <c r="BK72" s="1112">
        <v>0</v>
      </c>
      <c r="BL72" s="270">
        <v>0</v>
      </c>
      <c r="BM72" s="1112">
        <v>0</v>
      </c>
      <c r="BN72" s="1112">
        <v>0</v>
      </c>
      <c r="BO72" s="270">
        <v>0</v>
      </c>
      <c r="BP72" s="270">
        <v>0</v>
      </c>
      <c r="BQ72" s="270">
        <v>0</v>
      </c>
      <c r="BR72" s="1112">
        <v>0</v>
      </c>
      <c r="BS72" s="270">
        <v>0</v>
      </c>
      <c r="BT72" s="298">
        <v>247413</v>
      </c>
      <c r="BU72" s="298">
        <v>0</v>
      </c>
      <c r="BV72" s="298">
        <v>0</v>
      </c>
      <c r="BW72" s="298">
        <v>5862</v>
      </c>
      <c r="BX72" s="298">
        <v>50123</v>
      </c>
      <c r="BY72" s="298">
        <v>0</v>
      </c>
      <c r="BZ72" s="298">
        <v>0</v>
      </c>
      <c r="CA72" s="298">
        <v>0</v>
      </c>
      <c r="CB72" s="298">
        <v>0</v>
      </c>
      <c r="CC72" s="298">
        <v>101335</v>
      </c>
      <c r="CD72" s="298">
        <v>800223</v>
      </c>
      <c r="CE72" s="298">
        <v>470701</v>
      </c>
      <c r="CF72" s="298">
        <v>0</v>
      </c>
      <c r="CG72" s="298">
        <v>477590</v>
      </c>
      <c r="CH72" s="298">
        <v>7766401</v>
      </c>
      <c r="CI72" s="298">
        <v>0</v>
      </c>
      <c r="CJ72" s="298">
        <v>0</v>
      </c>
      <c r="CK72" s="298">
        <v>0</v>
      </c>
      <c r="CL72" s="298">
        <v>74664</v>
      </c>
      <c r="CM72" s="298">
        <v>0</v>
      </c>
      <c r="CN72" s="298">
        <v>0</v>
      </c>
      <c r="CO72" s="298">
        <v>166500</v>
      </c>
      <c r="CP72" s="298">
        <v>0</v>
      </c>
      <c r="CQ72" s="298">
        <v>0</v>
      </c>
    </row>
    <row r="73" spans="1:95" x14ac:dyDescent="0.3">
      <c r="A73" s="270">
        <v>192</v>
      </c>
      <c r="B73" s="270">
        <v>192</v>
      </c>
      <c r="C73" s="270" t="s">
        <v>244</v>
      </c>
      <c r="D73" s="270" t="s">
        <v>381</v>
      </c>
      <c r="E73" s="270">
        <v>0</v>
      </c>
      <c r="F73" s="270">
        <v>0</v>
      </c>
      <c r="G73" s="270">
        <v>0</v>
      </c>
      <c r="H73" s="1112">
        <v>0</v>
      </c>
      <c r="I73" s="270">
        <v>0</v>
      </c>
      <c r="J73" s="270">
        <v>0</v>
      </c>
      <c r="K73" s="270">
        <v>0</v>
      </c>
      <c r="L73" s="270">
        <v>0</v>
      </c>
      <c r="M73" s="270">
        <v>0</v>
      </c>
      <c r="N73" s="270">
        <v>0</v>
      </c>
      <c r="O73" s="270">
        <v>0</v>
      </c>
      <c r="P73" s="270">
        <v>0</v>
      </c>
      <c r="Q73" s="270">
        <v>0</v>
      </c>
      <c r="R73" s="270">
        <v>0</v>
      </c>
      <c r="S73" s="270">
        <v>0</v>
      </c>
      <c r="T73" s="270">
        <v>0</v>
      </c>
      <c r="U73" s="270">
        <v>0</v>
      </c>
      <c r="V73" s="270">
        <v>0</v>
      </c>
      <c r="W73" s="270">
        <v>0</v>
      </c>
      <c r="X73" s="270">
        <v>0</v>
      </c>
      <c r="Y73" s="270">
        <v>0</v>
      </c>
      <c r="Z73" s="270">
        <v>0</v>
      </c>
      <c r="AA73" s="270">
        <v>0</v>
      </c>
      <c r="AB73" s="270">
        <v>0</v>
      </c>
      <c r="AC73" s="270">
        <v>0</v>
      </c>
      <c r="AD73" s="270">
        <v>0</v>
      </c>
      <c r="AE73" s="270">
        <v>0</v>
      </c>
      <c r="AF73" s="270">
        <v>0</v>
      </c>
      <c r="AG73" s="270">
        <v>0</v>
      </c>
      <c r="AH73" s="270">
        <v>0</v>
      </c>
      <c r="AI73" s="270">
        <v>0</v>
      </c>
      <c r="AJ73" s="270">
        <v>0</v>
      </c>
      <c r="AK73" s="270">
        <v>0</v>
      </c>
      <c r="AL73" s="270">
        <v>0</v>
      </c>
      <c r="AM73" s="270">
        <v>0</v>
      </c>
      <c r="AN73" s="270">
        <v>0</v>
      </c>
      <c r="AO73" s="270">
        <v>0</v>
      </c>
      <c r="AP73" s="270">
        <v>0</v>
      </c>
      <c r="AQ73" s="270">
        <v>0</v>
      </c>
      <c r="AR73" s="270">
        <v>0</v>
      </c>
      <c r="AS73" s="270">
        <v>0</v>
      </c>
      <c r="AT73" s="270">
        <v>0</v>
      </c>
      <c r="AU73" s="270">
        <v>0</v>
      </c>
      <c r="AV73" s="270">
        <v>0</v>
      </c>
      <c r="AW73" s="270">
        <v>0</v>
      </c>
      <c r="AX73" s="270">
        <v>0</v>
      </c>
      <c r="AY73" s="270">
        <v>0</v>
      </c>
      <c r="AZ73" s="270">
        <v>0</v>
      </c>
      <c r="BA73" s="270">
        <v>0</v>
      </c>
      <c r="BB73" s="270">
        <v>0</v>
      </c>
      <c r="BC73" s="270">
        <v>0</v>
      </c>
      <c r="BD73" s="270">
        <v>0</v>
      </c>
      <c r="BE73" s="270">
        <v>0</v>
      </c>
      <c r="BF73" s="270">
        <v>0</v>
      </c>
      <c r="BG73" s="270">
        <v>0</v>
      </c>
      <c r="BH73" s="270">
        <v>93023</v>
      </c>
      <c r="BI73" s="270">
        <v>0</v>
      </c>
      <c r="BJ73" s="270">
        <v>0</v>
      </c>
      <c r="BK73" s="270">
        <v>0</v>
      </c>
      <c r="BL73" s="270">
        <v>0</v>
      </c>
      <c r="BM73" s="270">
        <v>0</v>
      </c>
      <c r="BN73" s="270">
        <v>0</v>
      </c>
      <c r="BO73" s="270">
        <v>0</v>
      </c>
      <c r="BP73" s="270">
        <v>0</v>
      </c>
      <c r="BQ73" s="270">
        <v>0</v>
      </c>
      <c r="BR73" s="270">
        <v>0</v>
      </c>
      <c r="BS73" s="270">
        <v>0</v>
      </c>
      <c r="BT73" s="298">
        <v>0</v>
      </c>
      <c r="BU73" s="298">
        <v>0</v>
      </c>
      <c r="BV73" s="298">
        <v>0</v>
      </c>
      <c r="BW73" s="298">
        <v>0</v>
      </c>
      <c r="BX73" s="298">
        <v>0</v>
      </c>
      <c r="BY73" s="298">
        <v>0</v>
      </c>
      <c r="BZ73" s="298">
        <v>0</v>
      </c>
      <c r="CA73" s="298">
        <v>0</v>
      </c>
      <c r="CB73" s="298">
        <v>0</v>
      </c>
      <c r="CC73" s="298">
        <v>0</v>
      </c>
      <c r="CD73" s="298">
        <v>0</v>
      </c>
      <c r="CE73" s="298">
        <v>0</v>
      </c>
      <c r="CF73" s="298">
        <v>0</v>
      </c>
      <c r="CG73" s="298">
        <v>0</v>
      </c>
      <c r="CH73" s="298">
        <v>0</v>
      </c>
      <c r="CI73" s="298">
        <v>0</v>
      </c>
      <c r="CJ73" s="298">
        <v>0</v>
      </c>
      <c r="CK73" s="298">
        <v>0</v>
      </c>
      <c r="CL73" s="298">
        <v>0</v>
      </c>
      <c r="CM73" s="298">
        <v>0</v>
      </c>
      <c r="CN73" s="298">
        <v>0</v>
      </c>
      <c r="CO73" s="298">
        <v>0</v>
      </c>
      <c r="CP73" s="298">
        <v>0</v>
      </c>
      <c r="CQ73" s="298">
        <v>0</v>
      </c>
    </row>
    <row r="74" spans="1:95" x14ac:dyDescent="0.3">
      <c r="A74" s="270"/>
      <c r="B74" s="270">
        <v>193</v>
      </c>
      <c r="C74" s="270" t="s">
        <v>382</v>
      </c>
      <c r="D74" s="270" t="s">
        <v>383</v>
      </c>
      <c r="E74" s="270"/>
      <c r="F74" s="270"/>
      <c r="G74" s="270"/>
      <c r="H74" s="270"/>
      <c r="I74" s="270"/>
      <c r="J74" s="270"/>
      <c r="K74" s="270"/>
      <c r="L74" s="270"/>
      <c r="M74" s="270"/>
      <c r="N74" s="270"/>
      <c r="O74" s="270"/>
      <c r="P74" s="270"/>
      <c r="Q74" s="270"/>
      <c r="R74" s="270"/>
      <c r="S74" s="270"/>
      <c r="T74" s="270"/>
      <c r="U74" s="270"/>
      <c r="V74" s="270"/>
      <c r="W74" s="270"/>
      <c r="X74" s="270"/>
      <c r="Y74" s="270"/>
      <c r="Z74" s="270"/>
      <c r="AA74" s="270"/>
      <c r="AB74" s="270"/>
      <c r="AC74" s="270"/>
      <c r="AD74" s="270"/>
      <c r="AE74" s="270"/>
      <c r="AF74" s="270"/>
      <c r="AG74" s="270"/>
      <c r="AH74" s="270"/>
      <c r="AI74" s="270"/>
      <c r="AJ74" s="270"/>
      <c r="AK74" s="270"/>
      <c r="AL74" s="270"/>
      <c r="AM74" s="270"/>
      <c r="AN74" s="270"/>
      <c r="AO74" s="270"/>
      <c r="AP74" s="270"/>
      <c r="AQ74" s="270"/>
      <c r="AR74" s="270"/>
      <c r="AS74" s="270"/>
      <c r="AT74" s="270"/>
      <c r="AU74" s="270"/>
      <c r="AV74" s="270"/>
      <c r="AW74" s="270"/>
      <c r="AX74" s="270"/>
      <c r="AY74" s="270"/>
      <c r="AZ74" s="270"/>
      <c r="BA74" s="270"/>
      <c r="BB74" s="270"/>
      <c r="BC74" s="270"/>
      <c r="BD74" s="270"/>
      <c r="BE74" s="270"/>
      <c r="BF74" s="270"/>
      <c r="BG74" s="270"/>
      <c r="BH74" s="270"/>
      <c r="BI74" s="270"/>
      <c r="BJ74" s="270"/>
      <c r="BK74" s="270"/>
      <c r="BL74" s="270"/>
      <c r="BM74" s="270"/>
      <c r="BN74" s="270"/>
      <c r="BO74" s="270"/>
      <c r="BP74" s="270"/>
      <c r="BQ74" s="270"/>
      <c r="BR74" s="270"/>
      <c r="BS74" s="270"/>
    </row>
    <row r="75" spans="1:95" x14ac:dyDescent="0.3">
      <c r="A75" s="270"/>
      <c r="B75" s="270">
        <v>194</v>
      </c>
      <c r="C75" s="270" t="s">
        <v>384</v>
      </c>
      <c r="D75" s="270" t="s">
        <v>385</v>
      </c>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0"/>
      <c r="AW75" s="270"/>
      <c r="AX75" s="270"/>
      <c r="AY75" s="270"/>
      <c r="AZ75" s="270"/>
      <c r="BA75" s="270"/>
      <c r="BB75" s="270"/>
      <c r="BC75" s="270"/>
      <c r="BD75" s="270"/>
      <c r="BE75" s="270"/>
      <c r="BF75" s="270"/>
      <c r="BG75" s="270"/>
      <c r="BH75" s="270"/>
      <c r="BI75" s="270"/>
      <c r="BJ75" s="270"/>
      <c r="BK75" s="270"/>
      <c r="BL75" s="270"/>
      <c r="BM75" s="270"/>
      <c r="BN75" s="270"/>
      <c r="BO75" s="270"/>
      <c r="BP75" s="270"/>
      <c r="BQ75" s="270"/>
      <c r="BR75" s="270"/>
      <c r="BS75" s="270"/>
    </row>
    <row r="76" spans="1:95" x14ac:dyDescent="0.3">
      <c r="A76" s="270"/>
      <c r="B76" s="270">
        <v>231</v>
      </c>
      <c r="C76" s="270" t="s">
        <v>386</v>
      </c>
      <c r="D76" s="270" t="s">
        <v>387</v>
      </c>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c r="BA76" s="270"/>
      <c r="BB76" s="270"/>
      <c r="BC76" s="270"/>
      <c r="BD76" s="270"/>
      <c r="BE76" s="270"/>
      <c r="BF76" s="270"/>
      <c r="BG76" s="270"/>
      <c r="BH76" s="270"/>
      <c r="BI76" s="270"/>
      <c r="BJ76" s="270"/>
      <c r="BK76" s="270"/>
      <c r="BL76" s="270"/>
      <c r="BM76" s="270"/>
      <c r="BN76" s="270"/>
      <c r="BO76" s="270"/>
      <c r="BP76" s="270"/>
      <c r="BQ76" s="270"/>
      <c r="BR76" s="270"/>
      <c r="BS76" s="270"/>
    </row>
    <row r="77" spans="1:95" x14ac:dyDescent="0.3">
      <c r="A77" s="270"/>
      <c r="B77" s="270">
        <v>251</v>
      </c>
      <c r="C77" s="270" t="s">
        <v>388</v>
      </c>
      <c r="D77" s="270" t="s">
        <v>389</v>
      </c>
      <c r="E77" s="270"/>
      <c r="F77" s="270"/>
      <c r="G77" s="270"/>
      <c r="H77" s="270"/>
      <c r="I77" s="270"/>
      <c r="J77" s="27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c r="AO77" s="270"/>
      <c r="AP77" s="270"/>
      <c r="AQ77" s="270"/>
      <c r="AR77" s="270"/>
      <c r="AS77" s="270"/>
      <c r="AT77" s="270"/>
      <c r="AU77" s="270"/>
      <c r="AV77" s="270"/>
      <c r="AW77" s="270"/>
      <c r="AX77" s="270"/>
      <c r="AY77" s="270"/>
      <c r="AZ77" s="270"/>
      <c r="BA77" s="270"/>
      <c r="BB77" s="270"/>
      <c r="BC77" s="270"/>
      <c r="BD77" s="270"/>
      <c r="BE77" s="270"/>
      <c r="BF77" s="270"/>
      <c r="BG77" s="270"/>
      <c r="BH77" s="270"/>
      <c r="BI77" s="270"/>
      <c r="BJ77" s="270"/>
      <c r="BK77" s="270"/>
      <c r="BL77" s="270"/>
      <c r="BM77" s="270"/>
      <c r="BN77" s="270"/>
      <c r="BO77" s="270"/>
      <c r="BP77" s="270"/>
      <c r="BQ77" s="270"/>
      <c r="BR77" s="270"/>
      <c r="BS77" s="270"/>
    </row>
    <row r="78" spans="1:95" x14ac:dyDescent="0.3">
      <c r="A78" s="270">
        <v>252</v>
      </c>
      <c r="B78" s="270">
        <v>252</v>
      </c>
      <c r="C78" s="270" t="s">
        <v>103</v>
      </c>
      <c r="D78" s="270" t="s">
        <v>390</v>
      </c>
      <c r="E78" s="1112">
        <v>52246</v>
      </c>
      <c r="F78" s="1112">
        <v>10651733</v>
      </c>
      <c r="G78" s="1112">
        <v>781229</v>
      </c>
      <c r="H78" s="1112">
        <v>4315610</v>
      </c>
      <c r="I78" s="1112">
        <v>1385765</v>
      </c>
      <c r="J78" s="1112">
        <v>1151308</v>
      </c>
      <c r="K78" s="1112">
        <v>43150694</v>
      </c>
      <c r="L78" s="1112">
        <v>383689</v>
      </c>
      <c r="M78" s="1112">
        <v>381201</v>
      </c>
      <c r="N78" s="1112">
        <v>2145050</v>
      </c>
      <c r="O78" s="1112">
        <v>641422</v>
      </c>
      <c r="P78" s="1112">
        <v>9115</v>
      </c>
      <c r="Q78" s="1112">
        <v>291389</v>
      </c>
      <c r="R78" s="1112">
        <v>1935913</v>
      </c>
      <c r="S78" s="270">
        <v>6374224</v>
      </c>
      <c r="T78" s="1112">
        <v>15745689</v>
      </c>
      <c r="U78" s="1112">
        <v>13247645</v>
      </c>
      <c r="V78" s="1112">
        <v>5542096</v>
      </c>
      <c r="W78" s="1112">
        <v>320271</v>
      </c>
      <c r="X78" s="1112">
        <v>7245984</v>
      </c>
      <c r="Y78" s="1112">
        <v>4272370</v>
      </c>
      <c r="Z78" s="1112">
        <v>17200</v>
      </c>
      <c r="AA78" s="1112">
        <v>11414172</v>
      </c>
      <c r="AB78" s="1112">
        <v>1568238</v>
      </c>
      <c r="AC78" s="1112">
        <v>907076</v>
      </c>
      <c r="AD78" s="1112">
        <v>211425</v>
      </c>
      <c r="AE78" s="1112">
        <v>9703650</v>
      </c>
      <c r="AF78" s="1112">
        <v>1860684</v>
      </c>
      <c r="AG78" s="1112">
        <v>4881872</v>
      </c>
      <c r="AH78" s="1112">
        <v>4234940</v>
      </c>
      <c r="AI78" s="1112">
        <v>40259</v>
      </c>
      <c r="AJ78" s="1112">
        <v>3081066</v>
      </c>
      <c r="AK78" s="1112">
        <v>4805522</v>
      </c>
      <c r="AL78" s="270">
        <v>5125197</v>
      </c>
      <c r="AM78" s="1112">
        <v>0</v>
      </c>
      <c r="AN78" s="1112">
        <v>64061</v>
      </c>
      <c r="AO78" s="1112">
        <v>64960</v>
      </c>
      <c r="AP78" s="1112">
        <v>3342961</v>
      </c>
      <c r="AQ78" s="1112">
        <v>281669</v>
      </c>
      <c r="AR78" s="1112">
        <v>1148401</v>
      </c>
      <c r="AS78" s="1112">
        <v>704239</v>
      </c>
      <c r="AT78" s="1112">
        <v>263650</v>
      </c>
      <c r="AU78" s="1112">
        <v>67783</v>
      </c>
      <c r="AV78" s="270">
        <v>815791</v>
      </c>
      <c r="AW78" s="1112">
        <v>3346855</v>
      </c>
      <c r="AX78" s="1112">
        <v>1360838</v>
      </c>
      <c r="AY78" s="1112">
        <v>240687066</v>
      </c>
      <c r="AZ78" s="1112">
        <v>4146610</v>
      </c>
      <c r="BA78" s="1112">
        <v>6862638</v>
      </c>
      <c r="BB78" s="1112">
        <v>2755818</v>
      </c>
      <c r="BC78" s="1112">
        <v>1112539</v>
      </c>
      <c r="BD78" s="270">
        <v>3724275</v>
      </c>
      <c r="BE78" s="1112">
        <v>60201</v>
      </c>
      <c r="BF78" s="1112">
        <v>137409</v>
      </c>
      <c r="BG78" s="1112">
        <v>1467723</v>
      </c>
      <c r="BH78" s="1112">
        <v>18184725</v>
      </c>
      <c r="BI78" s="1112">
        <v>22042</v>
      </c>
      <c r="BJ78" s="1112">
        <v>9812</v>
      </c>
      <c r="BK78" s="1112">
        <v>49278355</v>
      </c>
      <c r="BL78" s="1112">
        <v>16053933</v>
      </c>
      <c r="BM78" s="1112">
        <v>9088415</v>
      </c>
      <c r="BN78" s="1112">
        <v>196239</v>
      </c>
      <c r="BO78" s="1112">
        <v>1929302</v>
      </c>
      <c r="BP78" s="1112">
        <v>1385788</v>
      </c>
      <c r="BQ78" s="1112">
        <v>3521632</v>
      </c>
      <c r="BR78" s="1112">
        <v>3772183</v>
      </c>
      <c r="BS78" s="1112">
        <v>2571737</v>
      </c>
      <c r="BT78" s="298">
        <v>2799846</v>
      </c>
      <c r="BU78" s="298">
        <v>4562754</v>
      </c>
      <c r="BV78" s="298">
        <v>309136</v>
      </c>
      <c r="BW78" s="298">
        <v>3187158</v>
      </c>
      <c r="BX78" s="298">
        <v>5235786</v>
      </c>
      <c r="BY78" s="298">
        <v>120678</v>
      </c>
      <c r="BZ78" s="298">
        <v>0</v>
      </c>
      <c r="CA78" s="298">
        <v>8179465</v>
      </c>
      <c r="CB78" s="298">
        <v>240380429</v>
      </c>
      <c r="CC78" s="298">
        <v>61601610</v>
      </c>
      <c r="CD78" s="298">
        <v>847078</v>
      </c>
      <c r="CE78" s="298">
        <v>5963667</v>
      </c>
      <c r="CF78" s="298">
        <v>421808</v>
      </c>
      <c r="CG78" s="298">
        <v>2227333</v>
      </c>
      <c r="CH78" s="298">
        <v>198478120</v>
      </c>
      <c r="CI78" s="298">
        <v>19720000</v>
      </c>
      <c r="CJ78" s="298">
        <v>214318</v>
      </c>
      <c r="CK78" s="298">
        <v>1846074</v>
      </c>
      <c r="CL78" s="298">
        <v>401412</v>
      </c>
      <c r="CM78" s="298">
        <v>8909547</v>
      </c>
      <c r="CN78" s="298">
        <v>5092166</v>
      </c>
      <c r="CO78" s="298">
        <v>2490687</v>
      </c>
      <c r="CP78" s="298">
        <v>960687</v>
      </c>
      <c r="CQ78" s="298">
        <v>26460741</v>
      </c>
    </row>
    <row r="79" spans="1:95" x14ac:dyDescent="0.3">
      <c r="A79" s="270">
        <v>253</v>
      </c>
      <c r="B79" s="270">
        <v>253</v>
      </c>
      <c r="C79" s="270" t="s">
        <v>104</v>
      </c>
      <c r="D79" s="270" t="s">
        <v>391</v>
      </c>
      <c r="E79" s="1112">
        <v>373535</v>
      </c>
      <c r="F79" s="1112">
        <v>727384</v>
      </c>
      <c r="G79" s="1112">
        <v>87946</v>
      </c>
      <c r="H79" s="1112">
        <v>709205</v>
      </c>
      <c r="I79" s="1112">
        <v>222403</v>
      </c>
      <c r="J79" s="1112">
        <v>301055</v>
      </c>
      <c r="K79" s="1112">
        <v>6793587</v>
      </c>
      <c r="L79" s="1112">
        <v>63098</v>
      </c>
      <c r="M79" s="1112">
        <v>77282</v>
      </c>
      <c r="N79" s="270">
        <v>96319</v>
      </c>
      <c r="O79" s="1112">
        <v>409339</v>
      </c>
      <c r="P79" s="1112">
        <v>69506</v>
      </c>
      <c r="Q79" s="1112">
        <v>110693</v>
      </c>
      <c r="R79" s="1112">
        <v>69641</v>
      </c>
      <c r="S79" s="270">
        <v>164465</v>
      </c>
      <c r="T79" s="1112">
        <v>3812548</v>
      </c>
      <c r="U79" s="1112">
        <v>3837653</v>
      </c>
      <c r="V79" s="1112">
        <v>724427</v>
      </c>
      <c r="W79" s="1112">
        <v>96251</v>
      </c>
      <c r="X79" s="1112">
        <v>2022268</v>
      </c>
      <c r="Y79" s="1112">
        <v>265719</v>
      </c>
      <c r="Z79" s="1112">
        <v>15783</v>
      </c>
      <c r="AA79" s="1112">
        <v>2118458</v>
      </c>
      <c r="AB79" s="1112">
        <v>177358</v>
      </c>
      <c r="AC79" s="1112">
        <v>566351</v>
      </c>
      <c r="AD79" s="1112">
        <v>149629</v>
      </c>
      <c r="AE79" s="1112">
        <v>13270173</v>
      </c>
      <c r="AF79" s="1112">
        <v>866770</v>
      </c>
      <c r="AG79" s="1112">
        <v>295398</v>
      </c>
      <c r="AH79" s="1112">
        <v>1095821</v>
      </c>
      <c r="AI79" s="1112">
        <v>16331</v>
      </c>
      <c r="AJ79" s="1112">
        <v>2142807</v>
      </c>
      <c r="AK79" s="1112">
        <v>283638</v>
      </c>
      <c r="AL79" s="270">
        <v>1687972</v>
      </c>
      <c r="AM79" s="1112">
        <v>0</v>
      </c>
      <c r="AN79" s="1112">
        <v>41171</v>
      </c>
      <c r="AO79" s="1112">
        <v>62166</v>
      </c>
      <c r="AP79" s="1112">
        <v>751098</v>
      </c>
      <c r="AQ79" s="1112">
        <v>512836</v>
      </c>
      <c r="AR79" s="1112">
        <v>109978</v>
      </c>
      <c r="AS79" s="1112">
        <v>110166</v>
      </c>
      <c r="AT79" s="1112">
        <v>144616</v>
      </c>
      <c r="AU79" s="1112">
        <v>139479</v>
      </c>
      <c r="AV79" s="270">
        <v>157602</v>
      </c>
      <c r="AW79" s="1112">
        <v>972780</v>
      </c>
      <c r="AX79" s="1112">
        <v>128275</v>
      </c>
      <c r="AY79" s="1112">
        <v>8847399</v>
      </c>
      <c r="AZ79" s="1112">
        <v>1131344</v>
      </c>
      <c r="BA79" s="1112">
        <v>773583</v>
      </c>
      <c r="BB79" s="1112">
        <v>155582</v>
      </c>
      <c r="BC79" s="1112">
        <v>182472</v>
      </c>
      <c r="BD79" s="1112">
        <v>221943</v>
      </c>
      <c r="BE79" s="1112">
        <v>81973</v>
      </c>
      <c r="BF79" s="1112">
        <v>198458</v>
      </c>
      <c r="BG79" s="1112">
        <v>937650</v>
      </c>
      <c r="BH79" s="1112">
        <v>4398651</v>
      </c>
      <c r="BI79" s="1112">
        <v>126372</v>
      </c>
      <c r="BJ79" s="1112">
        <v>82501</v>
      </c>
      <c r="BK79" s="1112">
        <v>4901792</v>
      </c>
      <c r="BL79" s="1112">
        <v>2022056</v>
      </c>
      <c r="BM79" s="1112">
        <v>790806</v>
      </c>
      <c r="BN79" s="1112">
        <v>11485</v>
      </c>
      <c r="BO79" s="1112">
        <v>205291</v>
      </c>
      <c r="BP79" s="1112">
        <v>540270</v>
      </c>
      <c r="BQ79" s="1112">
        <v>450652</v>
      </c>
      <c r="BR79" s="1112">
        <v>134962</v>
      </c>
      <c r="BS79" s="1112">
        <v>204259</v>
      </c>
      <c r="BT79" s="298">
        <v>730829</v>
      </c>
      <c r="BU79" s="298">
        <v>1290113</v>
      </c>
      <c r="BV79" s="298">
        <v>124111</v>
      </c>
      <c r="BW79" s="298">
        <v>556703</v>
      </c>
      <c r="BX79" s="298">
        <v>1895500</v>
      </c>
      <c r="BY79" s="298">
        <v>41232</v>
      </c>
      <c r="BZ79" s="298">
        <v>0</v>
      </c>
      <c r="CA79" s="298">
        <v>912180</v>
      </c>
      <c r="CB79" s="298">
        <v>52687351</v>
      </c>
      <c r="CC79" s="298">
        <v>6714726</v>
      </c>
      <c r="CD79" s="298">
        <v>429790</v>
      </c>
      <c r="CE79" s="298">
        <v>1793615</v>
      </c>
      <c r="CF79" s="298">
        <v>79553</v>
      </c>
      <c r="CG79" s="298">
        <v>187304</v>
      </c>
      <c r="CH79" s="298">
        <v>65043267</v>
      </c>
      <c r="CI79" s="298">
        <v>3717133</v>
      </c>
      <c r="CJ79" s="298">
        <v>322819</v>
      </c>
      <c r="CK79" s="298">
        <v>538152</v>
      </c>
      <c r="CL79" s="298">
        <v>209732</v>
      </c>
      <c r="CM79" s="298">
        <v>1404741</v>
      </c>
      <c r="CN79" s="298">
        <v>580991</v>
      </c>
      <c r="CO79" s="298">
        <v>435832</v>
      </c>
      <c r="CP79" s="298">
        <v>311476</v>
      </c>
      <c r="CQ79" s="298">
        <v>1512756</v>
      </c>
    </row>
    <row r="80" spans="1:95" x14ac:dyDescent="0.3">
      <c r="A80" s="270">
        <v>254</v>
      </c>
      <c r="B80" s="270">
        <v>254</v>
      </c>
      <c r="C80" s="270" t="s">
        <v>105</v>
      </c>
      <c r="D80" s="270" t="s">
        <v>392</v>
      </c>
      <c r="E80" s="1112">
        <v>433451</v>
      </c>
      <c r="F80" s="1112">
        <v>11190190</v>
      </c>
      <c r="G80" s="1112">
        <v>864943</v>
      </c>
      <c r="H80" s="1112">
        <v>-129911</v>
      </c>
      <c r="I80" s="1112">
        <v>274208</v>
      </c>
      <c r="J80" s="1112">
        <v>628230</v>
      </c>
      <c r="K80" s="1112">
        <v>18370763</v>
      </c>
      <c r="L80" s="1112">
        <v>-331063</v>
      </c>
      <c r="M80" s="1112">
        <v>385477</v>
      </c>
      <c r="N80" s="1112">
        <v>3007048</v>
      </c>
      <c r="O80" s="1112">
        <v>217471</v>
      </c>
      <c r="P80" s="1112">
        <v>247759</v>
      </c>
      <c r="Q80" s="1112">
        <v>268469</v>
      </c>
      <c r="R80" s="1112">
        <v>1001323</v>
      </c>
      <c r="S80" s="270">
        <v>6750552</v>
      </c>
      <c r="T80" s="1112">
        <v>-806423</v>
      </c>
      <c r="U80" s="1112">
        <v>15788862</v>
      </c>
      <c r="V80" s="1112">
        <v>1242727</v>
      </c>
      <c r="W80" s="1112">
        <v>3575571</v>
      </c>
      <c r="X80" s="1112">
        <v>5416334</v>
      </c>
      <c r="Y80" s="1112">
        <v>2065989</v>
      </c>
      <c r="Z80" s="1112">
        <v>83962</v>
      </c>
      <c r="AA80" s="1112">
        <v>-16383086</v>
      </c>
      <c r="AB80" s="1112">
        <v>-680901</v>
      </c>
      <c r="AC80" s="1112">
        <v>428182</v>
      </c>
      <c r="AD80" s="1112">
        <v>514847</v>
      </c>
      <c r="AE80" s="1112">
        <v>-9566585</v>
      </c>
      <c r="AF80" s="1112">
        <v>1355214</v>
      </c>
      <c r="AG80" s="1112">
        <v>8440795</v>
      </c>
      <c r="AH80" s="1112">
        <v>1941852</v>
      </c>
      <c r="AI80" s="1112">
        <v>624942</v>
      </c>
      <c r="AJ80" s="1112">
        <v>6144234</v>
      </c>
      <c r="AK80" s="1112">
        <v>903423</v>
      </c>
      <c r="AL80" s="270">
        <v>219248</v>
      </c>
      <c r="AM80" s="1112">
        <v>0</v>
      </c>
      <c r="AN80" s="1112">
        <v>116054</v>
      </c>
      <c r="AO80" s="1112">
        <v>2906099</v>
      </c>
      <c r="AP80" s="1112">
        <v>4413112</v>
      </c>
      <c r="AQ80" s="1112">
        <v>374396</v>
      </c>
      <c r="AR80" s="1112">
        <v>254725</v>
      </c>
      <c r="AS80" s="1112">
        <v>1494973</v>
      </c>
      <c r="AT80" s="1112">
        <v>355756</v>
      </c>
      <c r="AU80" s="1112">
        <v>59200</v>
      </c>
      <c r="AV80" s="270">
        <v>-117361</v>
      </c>
      <c r="AW80" s="1112">
        <v>-2820301</v>
      </c>
      <c r="AX80" s="1112">
        <v>861979</v>
      </c>
      <c r="AY80" s="1112">
        <v>-30803644</v>
      </c>
      <c r="AZ80" s="1112">
        <v>3686201</v>
      </c>
      <c r="BA80" s="1112">
        <v>742508</v>
      </c>
      <c r="BB80" s="1112">
        <v>3621601</v>
      </c>
      <c r="BC80" s="1112">
        <v>1079202</v>
      </c>
      <c r="BD80" s="1112">
        <v>836933</v>
      </c>
      <c r="BE80" s="1112">
        <v>171848</v>
      </c>
      <c r="BF80" s="1112">
        <v>876016</v>
      </c>
      <c r="BG80" s="1112">
        <v>1763826</v>
      </c>
      <c r="BH80" s="1112">
        <v>6690424</v>
      </c>
      <c r="BI80" s="1112">
        <v>369790</v>
      </c>
      <c r="BJ80" s="1112">
        <v>189550</v>
      </c>
      <c r="BK80" s="1112">
        <v>7559634</v>
      </c>
      <c r="BL80" s="1112">
        <v>1086241</v>
      </c>
      <c r="BM80" s="1112">
        <v>5253493</v>
      </c>
      <c r="BN80" s="1112">
        <v>137853</v>
      </c>
      <c r="BO80" s="1112">
        <v>3048077</v>
      </c>
      <c r="BP80" s="1112">
        <v>1323418</v>
      </c>
      <c r="BQ80" s="1112">
        <v>1570611</v>
      </c>
      <c r="BR80" s="1112">
        <v>1879527</v>
      </c>
      <c r="BS80" s="1112">
        <v>954855</v>
      </c>
      <c r="BT80" s="298">
        <v>1424508</v>
      </c>
      <c r="BU80" s="298">
        <v>940635</v>
      </c>
      <c r="BV80" s="298">
        <v>521694</v>
      </c>
      <c r="BW80" s="298">
        <v>56477</v>
      </c>
      <c r="BX80" s="298">
        <v>-1038225</v>
      </c>
      <c r="BY80" s="298">
        <v>595347</v>
      </c>
      <c r="BZ80" s="298">
        <v>0</v>
      </c>
      <c r="CA80" s="298">
        <v>-260073</v>
      </c>
      <c r="CB80" s="298">
        <v>19982339</v>
      </c>
      <c r="CC80" s="298">
        <v>-10987253</v>
      </c>
      <c r="CD80" s="298">
        <v>721352</v>
      </c>
      <c r="CE80" s="298">
        <v>-844165</v>
      </c>
      <c r="CF80" s="298">
        <v>239992</v>
      </c>
      <c r="CG80" s="298">
        <v>635353</v>
      </c>
      <c r="CH80" s="298">
        <v>29962893</v>
      </c>
      <c r="CI80" s="298">
        <v>3498581</v>
      </c>
      <c r="CJ80" s="298">
        <v>830257</v>
      </c>
      <c r="CK80" s="298">
        <v>-595374</v>
      </c>
      <c r="CL80" s="298">
        <v>905872</v>
      </c>
      <c r="CM80" s="298">
        <v>11077836</v>
      </c>
      <c r="CN80" s="298">
        <v>1757052</v>
      </c>
      <c r="CO80" s="298">
        <v>1479443</v>
      </c>
      <c r="CP80" s="298">
        <v>1444124</v>
      </c>
      <c r="CQ80" s="298">
        <v>3236736</v>
      </c>
    </row>
    <row r="81" spans="1:95" x14ac:dyDescent="0.3">
      <c r="A81" s="270">
        <v>255</v>
      </c>
      <c r="B81" s="270">
        <v>255</v>
      </c>
      <c r="C81" s="270" t="s">
        <v>197</v>
      </c>
      <c r="D81" s="270" t="s">
        <v>393</v>
      </c>
      <c r="E81" s="1112">
        <v>35141</v>
      </c>
      <c r="F81" s="1112">
        <v>-432543</v>
      </c>
      <c r="G81" s="1112">
        <v>90127</v>
      </c>
      <c r="H81" s="1112">
        <v>-36143</v>
      </c>
      <c r="I81" s="1112">
        <v>247050</v>
      </c>
      <c r="J81" s="1112">
        <v>126776</v>
      </c>
      <c r="K81" s="1112">
        <v>807220</v>
      </c>
      <c r="L81" s="1112">
        <v>113700</v>
      </c>
      <c r="M81" s="1112">
        <v>59712</v>
      </c>
      <c r="N81" s="1112">
        <v>95964</v>
      </c>
      <c r="O81" s="1112">
        <v>111462</v>
      </c>
      <c r="P81" s="1112">
        <v>-39980</v>
      </c>
      <c r="Q81" s="1112">
        <v>150672</v>
      </c>
      <c r="R81" s="1112">
        <v>14319</v>
      </c>
      <c r="S81" s="270">
        <v>-188329</v>
      </c>
      <c r="T81" s="1112">
        <v>1662312</v>
      </c>
      <c r="U81" s="1112">
        <v>-799741</v>
      </c>
      <c r="V81" s="1112">
        <v>508647</v>
      </c>
      <c r="W81" s="1112">
        <v>324885</v>
      </c>
      <c r="X81" s="1112">
        <v>732952</v>
      </c>
      <c r="Y81" s="1112">
        <v>181153</v>
      </c>
      <c r="Z81" s="1112">
        <v>2600</v>
      </c>
      <c r="AA81" s="1112">
        <v>-640751</v>
      </c>
      <c r="AB81" s="1112">
        <v>157213</v>
      </c>
      <c r="AC81" s="1112">
        <v>82498</v>
      </c>
      <c r="AD81" s="1112">
        <v>62422</v>
      </c>
      <c r="AE81" s="1112">
        <v>289007</v>
      </c>
      <c r="AF81" s="1112">
        <v>-83458</v>
      </c>
      <c r="AG81" s="1112">
        <v>1641247</v>
      </c>
      <c r="AH81" s="1112">
        <v>619009</v>
      </c>
      <c r="AI81" s="1112">
        <v>137473</v>
      </c>
      <c r="AJ81" s="1112">
        <v>299505</v>
      </c>
      <c r="AK81" s="1112">
        <v>524651</v>
      </c>
      <c r="AL81" s="270">
        <v>635745</v>
      </c>
      <c r="AM81" s="1112">
        <v>0</v>
      </c>
      <c r="AN81" s="1112">
        <v>14656</v>
      </c>
      <c r="AO81" s="1112">
        <v>130885</v>
      </c>
      <c r="AP81" s="1112">
        <v>302955</v>
      </c>
      <c r="AQ81" s="1112">
        <v>-46487</v>
      </c>
      <c r="AR81" s="1112">
        <v>44166</v>
      </c>
      <c r="AS81" s="1112">
        <v>127300</v>
      </c>
      <c r="AT81" s="1112">
        <v>-44713</v>
      </c>
      <c r="AU81" s="1112">
        <v>2158</v>
      </c>
      <c r="AV81" s="270">
        <v>207656</v>
      </c>
      <c r="AW81" s="1112">
        <v>386040</v>
      </c>
      <c r="AX81" s="1112">
        <v>54161</v>
      </c>
      <c r="AY81" s="1112">
        <v>50829375</v>
      </c>
      <c r="AZ81" s="1112">
        <v>167293</v>
      </c>
      <c r="BA81" s="1112">
        <v>-510031</v>
      </c>
      <c r="BB81" s="1112">
        <v>441704</v>
      </c>
      <c r="BC81" s="1112">
        <v>249197</v>
      </c>
      <c r="BD81" s="1112">
        <v>26096</v>
      </c>
      <c r="BE81" s="1112">
        <v>36691</v>
      </c>
      <c r="BF81" s="1112">
        <v>143140</v>
      </c>
      <c r="BG81" s="1112">
        <v>374181</v>
      </c>
      <c r="BH81" s="1112">
        <v>1794807</v>
      </c>
      <c r="BI81" s="1112">
        <v>52509</v>
      </c>
      <c r="BJ81" s="1112">
        <v>36636</v>
      </c>
      <c r="BK81" s="1112">
        <v>5024963</v>
      </c>
      <c r="BL81" s="1112">
        <v>523497</v>
      </c>
      <c r="BM81" s="1112">
        <v>1274545</v>
      </c>
      <c r="BN81" s="1112">
        <v>-7149</v>
      </c>
      <c r="BO81" s="1112">
        <v>462009</v>
      </c>
      <c r="BP81" s="1112">
        <v>-133236</v>
      </c>
      <c r="BQ81" s="1112">
        <v>980439</v>
      </c>
      <c r="BR81" s="1112">
        <v>1910363</v>
      </c>
      <c r="BS81" s="1112">
        <v>-370</v>
      </c>
      <c r="BT81" s="298">
        <v>66761</v>
      </c>
      <c r="BU81" s="298">
        <v>391838</v>
      </c>
      <c r="BV81" s="298">
        <v>2156</v>
      </c>
      <c r="BW81" s="298">
        <v>548152</v>
      </c>
      <c r="BX81" s="298">
        <v>-525426</v>
      </c>
      <c r="BY81" s="298">
        <v>53974</v>
      </c>
      <c r="BZ81" s="298">
        <v>0</v>
      </c>
      <c r="CA81" s="298">
        <v>-1047283</v>
      </c>
      <c r="CB81" s="298">
        <v>11774156</v>
      </c>
      <c r="CC81" s="298">
        <v>5377806</v>
      </c>
      <c r="CD81" s="298">
        <v>34449</v>
      </c>
      <c r="CE81" s="298">
        <v>699799</v>
      </c>
      <c r="CF81" s="298">
        <v>45243</v>
      </c>
      <c r="CG81" s="298">
        <v>103090</v>
      </c>
      <c r="CH81" s="298">
        <v>16202713</v>
      </c>
      <c r="CI81" s="298">
        <v>-248123</v>
      </c>
      <c r="CJ81" s="298">
        <v>5578</v>
      </c>
      <c r="CK81" s="298">
        <v>268791</v>
      </c>
      <c r="CL81" s="298">
        <v>161720</v>
      </c>
      <c r="CM81" s="298">
        <v>3945600</v>
      </c>
      <c r="CN81" s="298">
        <v>1552754</v>
      </c>
      <c r="CO81" s="298">
        <v>284099</v>
      </c>
      <c r="CP81" s="298">
        <v>605687</v>
      </c>
      <c r="CQ81" s="298">
        <v>10804039</v>
      </c>
    </row>
    <row r="82" spans="1:95" x14ac:dyDescent="0.3">
      <c r="A82" s="270"/>
      <c r="B82" s="270">
        <v>274</v>
      </c>
      <c r="C82" s="270" t="s">
        <v>394</v>
      </c>
      <c r="D82" s="270" t="s">
        <v>395</v>
      </c>
      <c r="E82" s="270"/>
      <c r="F82" s="270"/>
      <c r="G82" s="270"/>
      <c r="H82" s="270"/>
      <c r="I82" s="270"/>
      <c r="J82" s="270"/>
      <c r="K82" s="270"/>
      <c r="L82" s="270"/>
      <c r="M82" s="270"/>
      <c r="N82" s="270"/>
      <c r="O82" s="270"/>
      <c r="P82" s="270"/>
      <c r="Q82" s="270"/>
      <c r="R82" s="270"/>
      <c r="S82" s="270"/>
      <c r="T82" s="270"/>
      <c r="U82" s="270"/>
      <c r="V82" s="270"/>
      <c r="W82" s="270"/>
      <c r="X82" s="270"/>
      <c r="Y82" s="270"/>
      <c r="Z82" s="270"/>
      <c r="AA82" s="270"/>
      <c r="AB82" s="270"/>
      <c r="AC82" s="270"/>
      <c r="AD82" s="270"/>
      <c r="AE82" s="270"/>
      <c r="AF82" s="270"/>
      <c r="AG82" s="270"/>
      <c r="AH82" s="270"/>
      <c r="AI82" s="270"/>
      <c r="AJ82" s="270"/>
      <c r="AK82" s="270"/>
      <c r="AL82" s="270"/>
      <c r="AM82" s="270"/>
      <c r="AN82" s="270"/>
      <c r="AO82" s="270"/>
      <c r="AP82" s="270"/>
      <c r="AQ82" s="270"/>
      <c r="AR82" s="270"/>
      <c r="AS82" s="270"/>
      <c r="AT82" s="270"/>
      <c r="AU82" s="270"/>
      <c r="AV82" s="270"/>
      <c r="AW82" s="270"/>
      <c r="AX82" s="270"/>
      <c r="AY82" s="270"/>
      <c r="AZ82" s="270"/>
      <c r="BA82" s="270"/>
      <c r="BB82" s="270"/>
      <c r="BC82" s="270"/>
      <c r="BD82" s="270"/>
      <c r="BE82" s="270"/>
      <c r="BF82" s="270"/>
      <c r="BG82" s="270"/>
      <c r="BH82" s="270"/>
      <c r="BI82" s="270"/>
      <c r="BJ82" s="270"/>
      <c r="BK82" s="270"/>
      <c r="BL82" s="270"/>
      <c r="BM82" s="270"/>
      <c r="BN82" s="270"/>
      <c r="BO82" s="270"/>
      <c r="BP82" s="270"/>
      <c r="BQ82" s="270"/>
      <c r="BR82" s="270"/>
      <c r="BS82" s="270"/>
    </row>
    <row r="83" spans="1:95" x14ac:dyDescent="0.3">
      <c r="A83" s="270"/>
      <c r="B83" s="270">
        <v>294</v>
      </c>
      <c r="C83" s="270" t="s">
        <v>1768</v>
      </c>
      <c r="D83" s="270" t="s">
        <v>396</v>
      </c>
      <c r="E83" s="270"/>
      <c r="F83" s="270"/>
      <c r="G83" s="270"/>
      <c r="H83" s="270"/>
      <c r="I83" s="270"/>
      <c r="J83" s="270"/>
      <c r="K83" s="270"/>
      <c r="L83" s="270"/>
      <c r="M83" s="270"/>
      <c r="N83" s="270"/>
      <c r="O83" s="270"/>
      <c r="P83" s="270"/>
      <c r="Q83" s="270"/>
      <c r="R83" s="270"/>
      <c r="S83" s="270"/>
      <c r="T83" s="270"/>
      <c r="U83" s="270"/>
      <c r="V83" s="270"/>
      <c r="W83" s="270"/>
      <c r="X83" s="270"/>
      <c r="Y83" s="270"/>
      <c r="Z83" s="270"/>
      <c r="AA83" s="270"/>
      <c r="AB83" s="270"/>
      <c r="AC83" s="270"/>
      <c r="AD83" s="270"/>
      <c r="AE83" s="270"/>
      <c r="AF83" s="270"/>
      <c r="AG83" s="270"/>
      <c r="AH83" s="270"/>
      <c r="AI83" s="270"/>
      <c r="AJ83" s="270"/>
      <c r="AK83" s="270"/>
      <c r="AL83" s="270"/>
      <c r="AM83" s="270"/>
      <c r="AN83" s="270"/>
      <c r="AO83" s="270"/>
      <c r="AP83" s="270"/>
      <c r="AQ83" s="270"/>
      <c r="AR83" s="270"/>
      <c r="AS83" s="270"/>
      <c r="AT83" s="270"/>
      <c r="AU83" s="270"/>
      <c r="AV83" s="270"/>
      <c r="AW83" s="270"/>
      <c r="AX83" s="270"/>
      <c r="AY83" s="270"/>
      <c r="AZ83" s="270"/>
      <c r="BA83" s="270"/>
      <c r="BB83" s="270"/>
      <c r="BC83" s="270"/>
      <c r="BD83" s="270"/>
      <c r="BE83" s="270"/>
      <c r="BF83" s="270"/>
      <c r="BG83" s="270"/>
      <c r="BH83" s="270"/>
      <c r="BI83" s="270"/>
      <c r="BJ83" s="270"/>
      <c r="BK83" s="270"/>
      <c r="BL83" s="270"/>
      <c r="BM83" s="270"/>
      <c r="BN83" s="270"/>
      <c r="BO83" s="270"/>
      <c r="BP83" s="270"/>
      <c r="BQ83" s="270"/>
      <c r="BR83" s="270"/>
      <c r="BS83" s="270"/>
    </row>
    <row r="84" spans="1:95" x14ac:dyDescent="0.3">
      <c r="A84" s="270"/>
      <c r="B84" s="270">
        <v>314</v>
      </c>
      <c r="C84" s="270" t="s">
        <v>397</v>
      </c>
      <c r="D84" s="270" t="s">
        <v>398</v>
      </c>
      <c r="E84" s="270"/>
      <c r="F84" s="270"/>
      <c r="G84" s="270"/>
      <c r="H84" s="270"/>
      <c r="I84" s="270"/>
      <c r="J84" s="270"/>
      <c r="K84" s="270"/>
      <c r="L84" s="270"/>
      <c r="M84" s="270"/>
      <c r="N84" s="270"/>
      <c r="O84" s="270"/>
      <c r="P84" s="270"/>
      <c r="Q84" s="270"/>
      <c r="R84" s="270"/>
      <c r="S84" s="270"/>
      <c r="T84" s="270"/>
      <c r="U84" s="270"/>
      <c r="V84" s="270"/>
      <c r="W84" s="270"/>
      <c r="X84" s="270"/>
      <c r="Y84" s="270"/>
      <c r="Z84" s="270"/>
      <c r="AA84" s="270"/>
      <c r="AB84" s="270"/>
      <c r="AC84" s="270"/>
      <c r="AD84" s="270"/>
      <c r="AE84" s="270"/>
      <c r="AF84" s="270"/>
      <c r="AG84" s="270"/>
      <c r="AH84" s="270"/>
      <c r="AI84" s="270"/>
      <c r="AJ84" s="270"/>
      <c r="AK84" s="270"/>
      <c r="AL84" s="270"/>
      <c r="AM84" s="270"/>
      <c r="AN84" s="270"/>
      <c r="AO84" s="270"/>
      <c r="AP84" s="270"/>
      <c r="AQ84" s="270"/>
      <c r="AR84" s="270"/>
      <c r="AS84" s="270"/>
      <c r="AT84" s="270"/>
      <c r="AU84" s="270"/>
      <c r="AV84" s="270"/>
      <c r="AW84" s="270"/>
      <c r="AX84" s="270"/>
      <c r="AY84" s="270"/>
      <c r="AZ84" s="270"/>
      <c r="BA84" s="270"/>
      <c r="BB84" s="270"/>
      <c r="BC84" s="270"/>
      <c r="BD84" s="270"/>
      <c r="BE84" s="270"/>
      <c r="BF84" s="270"/>
      <c r="BG84" s="270"/>
      <c r="BH84" s="270"/>
      <c r="BI84" s="270"/>
      <c r="BJ84" s="270"/>
      <c r="BK84" s="270"/>
      <c r="BL84" s="270"/>
      <c r="BM84" s="270"/>
      <c r="BN84" s="270"/>
      <c r="BO84" s="270"/>
      <c r="BP84" s="270"/>
      <c r="BQ84" s="270"/>
      <c r="BR84" s="270"/>
      <c r="BS84" s="270"/>
    </row>
    <row r="85" spans="1:95" x14ac:dyDescent="0.3">
      <c r="A85" s="270"/>
      <c r="B85" s="270">
        <v>315</v>
      </c>
      <c r="C85" s="270" t="s">
        <v>399</v>
      </c>
      <c r="D85" s="270" t="s">
        <v>400</v>
      </c>
      <c r="E85" s="270"/>
      <c r="F85" s="270"/>
      <c r="G85" s="270"/>
      <c r="H85" s="270"/>
      <c r="I85" s="270"/>
      <c r="J85" s="270"/>
      <c r="K85" s="270"/>
      <c r="L85" s="270"/>
      <c r="M85" s="270"/>
      <c r="N85" s="270"/>
      <c r="O85" s="270"/>
      <c r="P85" s="270"/>
      <c r="Q85" s="270"/>
      <c r="R85" s="270"/>
      <c r="S85" s="270"/>
      <c r="T85" s="270"/>
      <c r="U85" s="270"/>
      <c r="V85" s="270"/>
      <c r="W85" s="270"/>
      <c r="X85" s="270"/>
      <c r="Y85" s="270"/>
      <c r="Z85" s="270"/>
      <c r="AA85" s="270"/>
      <c r="AB85" s="270"/>
      <c r="AC85" s="270"/>
      <c r="AD85" s="270"/>
      <c r="AE85" s="270"/>
      <c r="AF85" s="270"/>
      <c r="AG85" s="270"/>
      <c r="AH85" s="270"/>
      <c r="AI85" s="270"/>
      <c r="AJ85" s="270"/>
      <c r="AK85" s="270"/>
      <c r="AL85" s="270"/>
      <c r="AM85" s="270"/>
      <c r="AN85" s="270"/>
      <c r="AO85" s="270"/>
      <c r="AP85" s="270"/>
      <c r="AQ85" s="270"/>
      <c r="AR85" s="270"/>
      <c r="AS85" s="270"/>
      <c r="AT85" s="270"/>
      <c r="AU85" s="270"/>
      <c r="AV85" s="270"/>
      <c r="AW85" s="270"/>
      <c r="AX85" s="270"/>
      <c r="AY85" s="270"/>
      <c r="AZ85" s="270"/>
      <c r="BA85" s="270"/>
      <c r="BB85" s="270"/>
      <c r="BC85" s="270"/>
      <c r="BD85" s="270"/>
      <c r="BE85" s="270"/>
      <c r="BF85" s="270"/>
      <c r="BG85" s="270"/>
      <c r="BH85" s="270"/>
      <c r="BI85" s="270"/>
      <c r="BJ85" s="270"/>
      <c r="BK85" s="270"/>
      <c r="BL85" s="270"/>
      <c r="BM85" s="270"/>
      <c r="BN85" s="270"/>
      <c r="BO85" s="270"/>
      <c r="BP85" s="270"/>
      <c r="BQ85" s="270"/>
      <c r="BR85" s="270"/>
      <c r="BS85" s="270"/>
    </row>
    <row r="86" spans="1:95" x14ac:dyDescent="0.3">
      <c r="A86" s="270"/>
      <c r="B86" s="270">
        <v>316</v>
      </c>
      <c r="C86" s="270" t="s">
        <v>401</v>
      </c>
      <c r="D86" s="270" t="s">
        <v>402</v>
      </c>
      <c r="E86" s="270"/>
      <c r="F86" s="270"/>
      <c r="G86" s="270"/>
      <c r="H86" s="270"/>
      <c r="I86" s="270"/>
      <c r="J86" s="270"/>
      <c r="K86" s="270"/>
      <c r="L86" s="270"/>
      <c r="M86" s="270"/>
      <c r="N86" s="270"/>
      <c r="O86" s="270"/>
      <c r="P86" s="270"/>
      <c r="Q86" s="270"/>
      <c r="R86" s="270"/>
      <c r="S86" s="270"/>
      <c r="T86" s="270"/>
      <c r="U86" s="270"/>
      <c r="V86" s="270"/>
      <c r="W86" s="270"/>
      <c r="X86" s="270"/>
      <c r="Y86" s="270"/>
      <c r="Z86" s="270"/>
      <c r="AA86" s="270"/>
      <c r="AB86" s="270"/>
      <c r="AC86" s="270"/>
      <c r="AD86" s="270"/>
      <c r="AE86" s="270"/>
      <c r="AF86" s="270"/>
      <c r="AG86" s="270"/>
      <c r="AH86" s="270"/>
      <c r="AI86" s="270"/>
      <c r="AJ86" s="270"/>
      <c r="AK86" s="270"/>
      <c r="AL86" s="270"/>
      <c r="AM86" s="270"/>
      <c r="AN86" s="270"/>
      <c r="AO86" s="270"/>
      <c r="AP86" s="270"/>
      <c r="AQ86" s="270"/>
      <c r="AR86" s="270"/>
      <c r="AS86" s="270"/>
      <c r="AT86" s="270"/>
      <c r="AU86" s="270"/>
      <c r="AV86" s="270"/>
      <c r="AW86" s="270"/>
      <c r="AX86" s="270"/>
      <c r="AY86" s="270"/>
      <c r="AZ86" s="270"/>
      <c r="BA86" s="270"/>
      <c r="BB86" s="270"/>
      <c r="BC86" s="270"/>
      <c r="BD86" s="270"/>
      <c r="BE86" s="270"/>
      <c r="BF86" s="270"/>
      <c r="BG86" s="270"/>
      <c r="BH86" s="270"/>
      <c r="BI86" s="270"/>
      <c r="BJ86" s="270"/>
      <c r="BK86" s="270"/>
      <c r="BL86" s="270"/>
      <c r="BM86" s="270"/>
      <c r="BN86" s="270"/>
      <c r="BO86" s="270"/>
      <c r="BP86" s="270"/>
      <c r="BQ86" s="270"/>
      <c r="BR86" s="270"/>
      <c r="BS86" s="270"/>
    </row>
    <row r="87" spans="1:95" x14ac:dyDescent="0.3">
      <c r="A87" s="270"/>
      <c r="B87" s="270">
        <v>320</v>
      </c>
      <c r="C87" s="270" t="s">
        <v>1769</v>
      </c>
      <c r="D87" s="270" t="s">
        <v>403</v>
      </c>
      <c r="E87" s="270">
        <v>0</v>
      </c>
      <c r="F87" s="270">
        <v>0</v>
      </c>
      <c r="G87" s="270">
        <v>0</v>
      </c>
      <c r="H87" s="270">
        <v>0</v>
      </c>
      <c r="I87" s="270">
        <v>0</v>
      </c>
      <c r="J87" s="270">
        <v>0</v>
      </c>
      <c r="K87" s="270">
        <v>0</v>
      </c>
      <c r="L87" s="270">
        <v>0</v>
      </c>
      <c r="M87" s="270">
        <v>0</v>
      </c>
      <c r="N87" s="270">
        <v>0</v>
      </c>
      <c r="O87" s="270">
        <v>0</v>
      </c>
      <c r="P87" s="270">
        <v>0</v>
      </c>
      <c r="Q87" s="270">
        <v>0</v>
      </c>
      <c r="R87" s="270">
        <v>0</v>
      </c>
      <c r="S87" s="270">
        <v>0</v>
      </c>
      <c r="T87" s="270">
        <v>0</v>
      </c>
      <c r="U87" s="270">
        <v>0</v>
      </c>
      <c r="V87" s="270">
        <v>0</v>
      </c>
      <c r="W87" s="270">
        <v>0</v>
      </c>
      <c r="X87" s="270">
        <v>0</v>
      </c>
      <c r="Y87" s="270">
        <v>0</v>
      </c>
      <c r="Z87" s="270">
        <v>0</v>
      </c>
      <c r="AA87" s="270">
        <v>0</v>
      </c>
      <c r="AB87" s="270">
        <v>0</v>
      </c>
      <c r="AC87" s="270">
        <v>0</v>
      </c>
      <c r="AD87" s="270">
        <v>0</v>
      </c>
      <c r="AE87" s="270">
        <v>0</v>
      </c>
      <c r="AF87" s="270">
        <v>0</v>
      </c>
      <c r="AG87" s="270">
        <v>0</v>
      </c>
      <c r="AH87" s="270">
        <v>0</v>
      </c>
      <c r="AI87" s="270">
        <v>0</v>
      </c>
      <c r="AJ87" s="270">
        <v>0</v>
      </c>
      <c r="AK87" s="270">
        <v>0</v>
      </c>
      <c r="AL87" s="270">
        <v>0</v>
      </c>
      <c r="AM87" s="270">
        <v>0</v>
      </c>
      <c r="AN87" s="270">
        <v>0</v>
      </c>
      <c r="AO87" s="270">
        <v>0</v>
      </c>
      <c r="AP87" s="270">
        <v>0</v>
      </c>
      <c r="AQ87" s="270">
        <v>0</v>
      </c>
      <c r="AR87" s="270">
        <v>0</v>
      </c>
      <c r="AS87" s="270">
        <v>0</v>
      </c>
      <c r="AT87" s="270">
        <v>0</v>
      </c>
      <c r="AU87" s="270">
        <v>0</v>
      </c>
      <c r="AV87" s="270">
        <v>0</v>
      </c>
      <c r="AW87" s="270">
        <v>0</v>
      </c>
      <c r="AX87" s="270">
        <v>0</v>
      </c>
      <c r="AY87" s="270">
        <v>0</v>
      </c>
      <c r="AZ87" s="270">
        <v>0</v>
      </c>
      <c r="BA87" s="270">
        <v>0</v>
      </c>
      <c r="BB87" s="270">
        <v>0</v>
      </c>
      <c r="BC87" s="270">
        <v>0</v>
      </c>
      <c r="BD87" s="270">
        <v>0</v>
      </c>
      <c r="BE87" s="270">
        <v>0</v>
      </c>
      <c r="BF87" s="270">
        <v>0</v>
      </c>
      <c r="BG87" s="270">
        <v>0</v>
      </c>
      <c r="BH87" s="270">
        <v>0</v>
      </c>
      <c r="BI87" s="270">
        <v>0</v>
      </c>
      <c r="BJ87" s="270">
        <v>0</v>
      </c>
      <c r="BK87" s="270">
        <v>0</v>
      </c>
      <c r="BL87" s="270">
        <v>0</v>
      </c>
      <c r="BM87" s="270">
        <v>0</v>
      </c>
      <c r="BN87" s="270">
        <v>0</v>
      </c>
      <c r="BO87" s="270">
        <v>0</v>
      </c>
      <c r="BP87" s="270">
        <v>0</v>
      </c>
      <c r="BQ87" s="270">
        <v>0</v>
      </c>
      <c r="BR87" s="270">
        <v>0</v>
      </c>
      <c r="BS87" s="270">
        <v>0</v>
      </c>
      <c r="BT87" s="298">
        <v>0</v>
      </c>
      <c r="BU87" s="298">
        <v>0</v>
      </c>
      <c r="BV87" s="298">
        <v>0</v>
      </c>
      <c r="BW87" s="298">
        <v>0</v>
      </c>
      <c r="BX87" s="298">
        <v>0</v>
      </c>
      <c r="BY87" s="298">
        <v>0</v>
      </c>
      <c r="BZ87" s="298">
        <v>0</v>
      </c>
      <c r="CA87" s="298">
        <v>0</v>
      </c>
      <c r="CB87" s="298">
        <v>0</v>
      </c>
      <c r="CC87" s="298">
        <v>0</v>
      </c>
      <c r="CD87" s="298">
        <v>0</v>
      </c>
      <c r="CE87" s="298">
        <v>0</v>
      </c>
      <c r="CF87" s="298">
        <v>0</v>
      </c>
      <c r="CG87" s="298">
        <v>0</v>
      </c>
      <c r="CH87" s="298">
        <v>0</v>
      </c>
      <c r="CI87" s="298">
        <v>0</v>
      </c>
      <c r="CJ87" s="298">
        <v>0</v>
      </c>
      <c r="CK87" s="298">
        <v>0</v>
      </c>
      <c r="CL87" s="298">
        <v>0</v>
      </c>
      <c r="CM87" s="298">
        <v>0</v>
      </c>
      <c r="CN87" s="298">
        <v>0</v>
      </c>
      <c r="CO87" s="298">
        <v>0</v>
      </c>
      <c r="CP87" s="298">
        <v>0</v>
      </c>
      <c r="CQ87" s="298">
        <v>0</v>
      </c>
    </row>
    <row r="88" spans="1:95" x14ac:dyDescent="0.3">
      <c r="A88" s="270"/>
      <c r="B88" s="270">
        <v>321</v>
      </c>
      <c r="C88" s="270" t="s">
        <v>1770</v>
      </c>
      <c r="D88" s="270" t="s">
        <v>404</v>
      </c>
      <c r="E88" s="270">
        <v>0</v>
      </c>
      <c r="F88" s="270">
        <v>0</v>
      </c>
      <c r="G88" s="270">
        <v>0</v>
      </c>
      <c r="H88" s="270">
        <v>0</v>
      </c>
      <c r="I88" s="270">
        <v>0</v>
      </c>
      <c r="J88" s="270">
        <v>0</v>
      </c>
      <c r="K88" s="270">
        <v>0</v>
      </c>
      <c r="L88" s="270">
        <v>0</v>
      </c>
      <c r="M88" s="270">
        <v>0</v>
      </c>
      <c r="N88" s="270">
        <v>0</v>
      </c>
      <c r="O88" s="270">
        <v>0</v>
      </c>
      <c r="P88" s="270">
        <v>0</v>
      </c>
      <c r="Q88" s="270">
        <v>0</v>
      </c>
      <c r="R88" s="270">
        <v>0</v>
      </c>
      <c r="S88" s="270">
        <v>0</v>
      </c>
      <c r="T88" s="270">
        <v>0</v>
      </c>
      <c r="U88" s="270">
        <v>0</v>
      </c>
      <c r="V88" s="270">
        <v>0</v>
      </c>
      <c r="W88" s="270">
        <v>0</v>
      </c>
      <c r="X88" s="270">
        <v>0</v>
      </c>
      <c r="Y88" s="270">
        <v>0</v>
      </c>
      <c r="Z88" s="270">
        <v>0</v>
      </c>
      <c r="AA88" s="270">
        <v>0</v>
      </c>
      <c r="AB88" s="270">
        <v>0</v>
      </c>
      <c r="AC88" s="270">
        <v>0</v>
      </c>
      <c r="AD88" s="270">
        <v>0</v>
      </c>
      <c r="AE88" s="270">
        <v>0</v>
      </c>
      <c r="AF88" s="270">
        <v>0</v>
      </c>
      <c r="AG88" s="270">
        <v>0</v>
      </c>
      <c r="AH88" s="270">
        <v>0</v>
      </c>
      <c r="AI88" s="270">
        <v>0</v>
      </c>
      <c r="AJ88" s="270">
        <v>0</v>
      </c>
      <c r="AK88" s="270">
        <v>0</v>
      </c>
      <c r="AL88" s="270">
        <v>0</v>
      </c>
      <c r="AM88" s="270">
        <v>0</v>
      </c>
      <c r="AN88" s="270">
        <v>0</v>
      </c>
      <c r="AO88" s="270">
        <v>0</v>
      </c>
      <c r="AP88" s="270">
        <v>0</v>
      </c>
      <c r="AQ88" s="270">
        <v>0</v>
      </c>
      <c r="AR88" s="270">
        <v>0</v>
      </c>
      <c r="AS88" s="270">
        <v>0</v>
      </c>
      <c r="AT88" s="270">
        <v>0</v>
      </c>
      <c r="AU88" s="270">
        <v>0</v>
      </c>
      <c r="AV88" s="270">
        <v>0</v>
      </c>
      <c r="AW88" s="270">
        <v>0</v>
      </c>
      <c r="AX88" s="270">
        <v>0</v>
      </c>
      <c r="AY88" s="270">
        <v>0</v>
      </c>
      <c r="AZ88" s="270">
        <v>0</v>
      </c>
      <c r="BA88" s="270">
        <v>0</v>
      </c>
      <c r="BB88" s="270">
        <v>0</v>
      </c>
      <c r="BC88" s="270">
        <v>0</v>
      </c>
      <c r="BD88" s="270">
        <v>0</v>
      </c>
      <c r="BE88" s="270">
        <v>0</v>
      </c>
      <c r="BF88" s="270">
        <v>0</v>
      </c>
      <c r="BG88" s="270">
        <v>0</v>
      </c>
      <c r="BH88" s="270">
        <v>0</v>
      </c>
      <c r="BI88" s="270">
        <v>0</v>
      </c>
      <c r="BJ88" s="270">
        <v>0</v>
      </c>
      <c r="BK88" s="270">
        <v>0</v>
      </c>
      <c r="BL88" s="270">
        <v>0</v>
      </c>
      <c r="BM88" s="270">
        <v>0</v>
      </c>
      <c r="BN88" s="270">
        <v>0</v>
      </c>
      <c r="BO88" s="270">
        <v>0</v>
      </c>
      <c r="BP88" s="270">
        <v>0</v>
      </c>
      <c r="BQ88" s="270">
        <v>0</v>
      </c>
      <c r="BR88" s="270">
        <v>0</v>
      </c>
      <c r="BS88" s="270">
        <v>0</v>
      </c>
      <c r="BT88" s="298">
        <v>0</v>
      </c>
      <c r="BU88" s="298">
        <v>0</v>
      </c>
      <c r="BV88" s="298">
        <v>0</v>
      </c>
      <c r="BW88" s="298">
        <v>0</v>
      </c>
      <c r="BX88" s="298">
        <v>0</v>
      </c>
      <c r="BY88" s="298">
        <v>0</v>
      </c>
      <c r="BZ88" s="298">
        <v>0</v>
      </c>
      <c r="CA88" s="298">
        <v>0</v>
      </c>
      <c r="CB88" s="298">
        <v>0</v>
      </c>
      <c r="CC88" s="298">
        <v>0</v>
      </c>
      <c r="CD88" s="298">
        <v>0</v>
      </c>
      <c r="CE88" s="298">
        <v>0</v>
      </c>
      <c r="CF88" s="298">
        <v>0</v>
      </c>
      <c r="CG88" s="298">
        <v>0</v>
      </c>
      <c r="CH88" s="298">
        <v>0</v>
      </c>
      <c r="CI88" s="298">
        <v>0</v>
      </c>
      <c r="CJ88" s="298">
        <v>0</v>
      </c>
      <c r="CK88" s="298">
        <v>0</v>
      </c>
      <c r="CL88" s="298">
        <v>0</v>
      </c>
      <c r="CM88" s="298">
        <v>0</v>
      </c>
      <c r="CN88" s="298">
        <v>0</v>
      </c>
      <c r="CO88" s="298">
        <v>0</v>
      </c>
      <c r="CP88" s="298">
        <v>0</v>
      </c>
      <c r="CQ88" s="298">
        <v>0</v>
      </c>
    </row>
    <row r="89" spans="1:95" x14ac:dyDescent="0.3">
      <c r="A89" s="270"/>
      <c r="B89" s="270">
        <v>322</v>
      </c>
      <c r="C89" s="270" t="s">
        <v>259</v>
      </c>
      <c r="D89" s="270" t="s">
        <v>405</v>
      </c>
      <c r="E89" s="270">
        <v>0</v>
      </c>
      <c r="F89" s="270">
        <v>0</v>
      </c>
      <c r="G89" s="270">
        <v>0</v>
      </c>
      <c r="H89" s="270">
        <v>0</v>
      </c>
      <c r="I89" s="270">
        <v>0</v>
      </c>
      <c r="J89" s="270">
        <v>0</v>
      </c>
      <c r="K89" s="270">
        <v>0</v>
      </c>
      <c r="L89" s="270">
        <v>0</v>
      </c>
      <c r="M89" s="270">
        <v>0</v>
      </c>
      <c r="N89" s="270">
        <v>0</v>
      </c>
      <c r="O89" s="270">
        <v>0</v>
      </c>
      <c r="P89" s="270">
        <v>0</v>
      </c>
      <c r="Q89" s="270">
        <v>0</v>
      </c>
      <c r="R89" s="270">
        <v>0</v>
      </c>
      <c r="S89" s="270">
        <v>0</v>
      </c>
      <c r="T89" s="270">
        <v>0</v>
      </c>
      <c r="U89" s="270">
        <v>0</v>
      </c>
      <c r="V89" s="270">
        <v>0</v>
      </c>
      <c r="W89" s="270">
        <v>0</v>
      </c>
      <c r="X89" s="270">
        <v>0</v>
      </c>
      <c r="Y89" s="270">
        <v>0</v>
      </c>
      <c r="Z89" s="270">
        <v>0</v>
      </c>
      <c r="AA89" s="270">
        <v>0</v>
      </c>
      <c r="AB89" s="270">
        <v>0</v>
      </c>
      <c r="AC89" s="270">
        <v>0</v>
      </c>
      <c r="AD89" s="270">
        <v>0</v>
      </c>
      <c r="AE89" s="270">
        <v>0</v>
      </c>
      <c r="AF89" s="270">
        <v>0</v>
      </c>
      <c r="AG89" s="270">
        <v>0</v>
      </c>
      <c r="AH89" s="270">
        <v>0</v>
      </c>
      <c r="AI89" s="270">
        <v>0</v>
      </c>
      <c r="AJ89" s="270">
        <v>0</v>
      </c>
      <c r="AK89" s="270">
        <v>0</v>
      </c>
      <c r="AL89" s="270">
        <v>0</v>
      </c>
      <c r="AM89" s="270">
        <v>0</v>
      </c>
      <c r="AN89" s="270">
        <v>0</v>
      </c>
      <c r="AO89" s="270">
        <v>0</v>
      </c>
      <c r="AP89" s="270">
        <v>0</v>
      </c>
      <c r="AQ89" s="270">
        <v>0</v>
      </c>
      <c r="AR89" s="270">
        <v>0</v>
      </c>
      <c r="AS89" s="270">
        <v>0</v>
      </c>
      <c r="AT89" s="270">
        <v>0</v>
      </c>
      <c r="AU89" s="270">
        <v>0</v>
      </c>
      <c r="AV89" s="270">
        <v>0</v>
      </c>
      <c r="AW89" s="270">
        <v>0</v>
      </c>
      <c r="AX89" s="270">
        <v>0</v>
      </c>
      <c r="AY89" s="270">
        <v>0</v>
      </c>
      <c r="AZ89" s="270">
        <v>0</v>
      </c>
      <c r="BA89" s="270">
        <v>0</v>
      </c>
      <c r="BB89" s="270">
        <v>0</v>
      </c>
      <c r="BC89" s="270">
        <v>0</v>
      </c>
      <c r="BD89" s="270">
        <v>0</v>
      </c>
      <c r="BE89" s="270">
        <v>0</v>
      </c>
      <c r="BF89" s="270">
        <v>0</v>
      </c>
      <c r="BG89" s="270">
        <v>0</v>
      </c>
      <c r="BH89" s="270">
        <v>0</v>
      </c>
      <c r="BI89" s="270">
        <v>0</v>
      </c>
      <c r="BJ89" s="270">
        <v>0</v>
      </c>
      <c r="BK89" s="270">
        <v>0</v>
      </c>
      <c r="BL89" s="270">
        <v>0</v>
      </c>
      <c r="BM89" s="270">
        <v>0</v>
      </c>
      <c r="BN89" s="270">
        <v>0</v>
      </c>
      <c r="BO89" s="270">
        <v>0</v>
      </c>
      <c r="BP89" s="270">
        <v>0</v>
      </c>
      <c r="BQ89" s="270">
        <v>0</v>
      </c>
      <c r="BR89" s="270">
        <v>0</v>
      </c>
      <c r="BS89" s="270">
        <v>0</v>
      </c>
      <c r="BT89" s="298">
        <v>0</v>
      </c>
      <c r="BU89" s="298">
        <v>0</v>
      </c>
      <c r="BV89" s="298">
        <v>0</v>
      </c>
      <c r="BW89" s="298">
        <v>0</v>
      </c>
      <c r="BX89" s="298">
        <v>0</v>
      </c>
      <c r="BY89" s="298">
        <v>0</v>
      </c>
      <c r="BZ89" s="298">
        <v>0</v>
      </c>
      <c r="CA89" s="298">
        <v>0</v>
      </c>
      <c r="CB89" s="298">
        <v>0</v>
      </c>
      <c r="CC89" s="298">
        <v>0</v>
      </c>
      <c r="CD89" s="298">
        <v>0</v>
      </c>
      <c r="CE89" s="298">
        <v>0</v>
      </c>
      <c r="CF89" s="298">
        <v>0</v>
      </c>
      <c r="CG89" s="298">
        <v>0</v>
      </c>
      <c r="CH89" s="298">
        <v>0</v>
      </c>
      <c r="CI89" s="298">
        <v>0</v>
      </c>
      <c r="CJ89" s="298">
        <v>0</v>
      </c>
      <c r="CK89" s="298">
        <v>0</v>
      </c>
      <c r="CL89" s="298">
        <v>0</v>
      </c>
      <c r="CM89" s="298">
        <v>0</v>
      </c>
      <c r="CN89" s="298">
        <v>0</v>
      </c>
      <c r="CO89" s="298">
        <v>0</v>
      </c>
      <c r="CP89" s="298">
        <v>0</v>
      </c>
      <c r="CQ89" s="298">
        <v>0</v>
      </c>
    </row>
    <row r="90" spans="1:95" x14ac:dyDescent="0.3">
      <c r="A90" s="270"/>
      <c r="B90" s="270">
        <v>323</v>
      </c>
      <c r="C90" s="270" t="s">
        <v>258</v>
      </c>
      <c r="D90" s="270" t="s">
        <v>406</v>
      </c>
      <c r="E90" s="270">
        <v>0</v>
      </c>
      <c r="F90" s="270">
        <v>0</v>
      </c>
      <c r="G90" s="270">
        <v>0</v>
      </c>
      <c r="H90" s="270">
        <v>0</v>
      </c>
      <c r="I90" s="270">
        <v>0</v>
      </c>
      <c r="J90" s="270">
        <v>0</v>
      </c>
      <c r="K90" s="270">
        <v>0</v>
      </c>
      <c r="L90" s="270">
        <v>0</v>
      </c>
      <c r="M90" s="270">
        <v>0</v>
      </c>
      <c r="N90" s="270">
        <v>0</v>
      </c>
      <c r="O90" s="270">
        <v>0</v>
      </c>
      <c r="P90" s="270">
        <v>0</v>
      </c>
      <c r="Q90" s="270">
        <v>0</v>
      </c>
      <c r="R90" s="270">
        <v>0</v>
      </c>
      <c r="S90" s="270">
        <v>0</v>
      </c>
      <c r="T90" s="270">
        <v>0</v>
      </c>
      <c r="U90" s="270">
        <v>0</v>
      </c>
      <c r="V90" s="270">
        <v>0</v>
      </c>
      <c r="W90" s="270">
        <v>0</v>
      </c>
      <c r="X90" s="270">
        <v>0</v>
      </c>
      <c r="Y90" s="270">
        <v>0</v>
      </c>
      <c r="Z90" s="270">
        <v>0</v>
      </c>
      <c r="AA90" s="270">
        <v>0</v>
      </c>
      <c r="AB90" s="270">
        <v>0</v>
      </c>
      <c r="AC90" s="270">
        <v>0</v>
      </c>
      <c r="AD90" s="270">
        <v>0</v>
      </c>
      <c r="AE90" s="270">
        <v>0</v>
      </c>
      <c r="AF90" s="270">
        <v>0</v>
      </c>
      <c r="AG90" s="270">
        <v>0</v>
      </c>
      <c r="AH90" s="270">
        <v>0</v>
      </c>
      <c r="AI90" s="270">
        <v>0</v>
      </c>
      <c r="AJ90" s="270">
        <v>0</v>
      </c>
      <c r="AK90" s="270">
        <v>0</v>
      </c>
      <c r="AL90" s="270">
        <v>0</v>
      </c>
      <c r="AM90" s="270">
        <v>0</v>
      </c>
      <c r="AN90" s="270">
        <v>0</v>
      </c>
      <c r="AO90" s="270">
        <v>0</v>
      </c>
      <c r="AP90" s="270">
        <v>0</v>
      </c>
      <c r="AQ90" s="270">
        <v>0</v>
      </c>
      <c r="AR90" s="270">
        <v>0</v>
      </c>
      <c r="AS90" s="270">
        <v>0</v>
      </c>
      <c r="AT90" s="270">
        <v>0</v>
      </c>
      <c r="AU90" s="270">
        <v>0</v>
      </c>
      <c r="AV90" s="270">
        <v>0</v>
      </c>
      <c r="AW90" s="270">
        <v>0</v>
      </c>
      <c r="AX90" s="270">
        <v>0</v>
      </c>
      <c r="AY90" s="270">
        <v>0</v>
      </c>
      <c r="AZ90" s="270">
        <v>0</v>
      </c>
      <c r="BA90" s="270">
        <v>0</v>
      </c>
      <c r="BB90" s="270">
        <v>0</v>
      </c>
      <c r="BC90" s="270">
        <v>0</v>
      </c>
      <c r="BD90" s="270">
        <v>0</v>
      </c>
      <c r="BE90" s="270">
        <v>0</v>
      </c>
      <c r="BF90" s="270">
        <v>0</v>
      </c>
      <c r="BG90" s="270">
        <v>0</v>
      </c>
      <c r="BH90" s="270">
        <v>0</v>
      </c>
      <c r="BI90" s="270">
        <v>0</v>
      </c>
      <c r="BJ90" s="270">
        <v>0</v>
      </c>
      <c r="BK90" s="270">
        <v>0</v>
      </c>
      <c r="BL90" s="270">
        <v>0</v>
      </c>
      <c r="BM90" s="270">
        <v>0</v>
      </c>
      <c r="BN90" s="270">
        <v>0</v>
      </c>
      <c r="BO90" s="270">
        <v>0</v>
      </c>
      <c r="BP90" s="270">
        <v>0</v>
      </c>
      <c r="BQ90" s="270">
        <v>0</v>
      </c>
      <c r="BR90" s="270">
        <v>0</v>
      </c>
      <c r="BS90" s="270">
        <v>0</v>
      </c>
      <c r="BT90" s="298">
        <v>0</v>
      </c>
      <c r="BU90" s="298">
        <v>0</v>
      </c>
      <c r="BV90" s="298">
        <v>0</v>
      </c>
      <c r="BW90" s="298">
        <v>0</v>
      </c>
      <c r="BX90" s="298">
        <v>0</v>
      </c>
      <c r="BY90" s="298">
        <v>0</v>
      </c>
      <c r="BZ90" s="298">
        <v>0</v>
      </c>
      <c r="CA90" s="298">
        <v>0</v>
      </c>
      <c r="CB90" s="298">
        <v>0</v>
      </c>
      <c r="CC90" s="298">
        <v>0</v>
      </c>
      <c r="CD90" s="298">
        <v>0</v>
      </c>
      <c r="CE90" s="298">
        <v>0</v>
      </c>
      <c r="CF90" s="298">
        <v>0</v>
      </c>
      <c r="CG90" s="298">
        <v>0</v>
      </c>
      <c r="CH90" s="298">
        <v>0</v>
      </c>
      <c r="CI90" s="298">
        <v>0</v>
      </c>
      <c r="CJ90" s="298">
        <v>0</v>
      </c>
      <c r="CK90" s="298">
        <v>0</v>
      </c>
      <c r="CL90" s="298">
        <v>0</v>
      </c>
      <c r="CM90" s="298">
        <v>0</v>
      </c>
      <c r="CN90" s="298">
        <v>0</v>
      </c>
      <c r="CO90" s="298">
        <v>0</v>
      </c>
      <c r="CP90" s="298">
        <v>0</v>
      </c>
      <c r="CQ90" s="298">
        <v>0</v>
      </c>
    </row>
    <row r="91" spans="1:95" x14ac:dyDescent="0.3">
      <c r="A91" s="270"/>
      <c r="B91" s="270">
        <v>324</v>
      </c>
      <c r="C91" s="270" t="s">
        <v>257</v>
      </c>
      <c r="D91" s="270" t="s">
        <v>407</v>
      </c>
      <c r="E91" s="270">
        <v>0</v>
      </c>
      <c r="F91" s="270">
        <v>0</v>
      </c>
      <c r="G91" s="270">
        <v>0</v>
      </c>
      <c r="H91" s="270">
        <v>0</v>
      </c>
      <c r="I91" s="270">
        <v>0</v>
      </c>
      <c r="J91" s="270">
        <v>0</v>
      </c>
      <c r="K91" s="270">
        <v>0</v>
      </c>
      <c r="L91" s="270">
        <v>0</v>
      </c>
      <c r="M91" s="270">
        <v>0</v>
      </c>
      <c r="N91" s="270">
        <v>0</v>
      </c>
      <c r="O91" s="270">
        <v>0</v>
      </c>
      <c r="P91" s="270">
        <v>0</v>
      </c>
      <c r="Q91" s="270">
        <v>0</v>
      </c>
      <c r="R91" s="270">
        <v>0</v>
      </c>
      <c r="S91" s="270">
        <v>0</v>
      </c>
      <c r="T91" s="270">
        <v>0</v>
      </c>
      <c r="U91" s="270">
        <v>0</v>
      </c>
      <c r="V91" s="270">
        <v>0</v>
      </c>
      <c r="W91" s="270">
        <v>0</v>
      </c>
      <c r="X91" s="270">
        <v>0</v>
      </c>
      <c r="Y91" s="270">
        <v>0</v>
      </c>
      <c r="Z91" s="270">
        <v>0</v>
      </c>
      <c r="AA91" s="270">
        <v>0</v>
      </c>
      <c r="AB91" s="270">
        <v>0</v>
      </c>
      <c r="AC91" s="270">
        <v>0</v>
      </c>
      <c r="AD91" s="270">
        <v>0</v>
      </c>
      <c r="AE91" s="270">
        <v>0</v>
      </c>
      <c r="AF91" s="270">
        <v>0</v>
      </c>
      <c r="AG91" s="270">
        <v>0</v>
      </c>
      <c r="AH91" s="270">
        <v>0</v>
      </c>
      <c r="AI91" s="270">
        <v>0</v>
      </c>
      <c r="AJ91" s="270">
        <v>0</v>
      </c>
      <c r="AK91" s="270">
        <v>0</v>
      </c>
      <c r="AL91" s="270">
        <v>0</v>
      </c>
      <c r="AM91" s="270">
        <v>0</v>
      </c>
      <c r="AN91" s="270">
        <v>0</v>
      </c>
      <c r="AO91" s="270">
        <v>0</v>
      </c>
      <c r="AP91" s="270">
        <v>0</v>
      </c>
      <c r="AQ91" s="270">
        <v>0</v>
      </c>
      <c r="AR91" s="270">
        <v>0</v>
      </c>
      <c r="AS91" s="270">
        <v>0</v>
      </c>
      <c r="AT91" s="270">
        <v>0</v>
      </c>
      <c r="AU91" s="270">
        <v>0</v>
      </c>
      <c r="AV91" s="270">
        <v>0</v>
      </c>
      <c r="AW91" s="270">
        <v>0</v>
      </c>
      <c r="AX91" s="270">
        <v>0</v>
      </c>
      <c r="AY91" s="270">
        <v>0</v>
      </c>
      <c r="AZ91" s="270">
        <v>0</v>
      </c>
      <c r="BA91" s="270">
        <v>0</v>
      </c>
      <c r="BB91" s="270">
        <v>0</v>
      </c>
      <c r="BC91" s="270">
        <v>0</v>
      </c>
      <c r="BD91" s="270">
        <v>0</v>
      </c>
      <c r="BE91" s="270">
        <v>0</v>
      </c>
      <c r="BF91" s="270">
        <v>0</v>
      </c>
      <c r="BG91" s="270">
        <v>0</v>
      </c>
      <c r="BH91" s="270">
        <v>0</v>
      </c>
      <c r="BI91" s="270">
        <v>0</v>
      </c>
      <c r="BJ91" s="270">
        <v>0</v>
      </c>
      <c r="BK91" s="270">
        <v>0</v>
      </c>
      <c r="BL91" s="270">
        <v>0</v>
      </c>
      <c r="BM91" s="270">
        <v>0</v>
      </c>
      <c r="BN91" s="270">
        <v>0</v>
      </c>
      <c r="BO91" s="270">
        <v>0</v>
      </c>
      <c r="BP91" s="270">
        <v>0</v>
      </c>
      <c r="BQ91" s="270">
        <v>0</v>
      </c>
      <c r="BR91" s="270">
        <v>0</v>
      </c>
      <c r="BS91" s="270">
        <v>0</v>
      </c>
      <c r="BT91" s="298">
        <v>0</v>
      </c>
      <c r="BU91" s="298">
        <v>0</v>
      </c>
      <c r="BV91" s="298">
        <v>0</v>
      </c>
      <c r="BW91" s="298">
        <v>0</v>
      </c>
      <c r="BX91" s="298">
        <v>0</v>
      </c>
      <c r="BY91" s="298">
        <v>0</v>
      </c>
      <c r="BZ91" s="298">
        <v>0</v>
      </c>
      <c r="CA91" s="298">
        <v>0</v>
      </c>
      <c r="CB91" s="298">
        <v>0</v>
      </c>
      <c r="CC91" s="298">
        <v>0</v>
      </c>
      <c r="CD91" s="298">
        <v>0</v>
      </c>
      <c r="CE91" s="298">
        <v>0</v>
      </c>
      <c r="CF91" s="298">
        <v>0</v>
      </c>
      <c r="CG91" s="298">
        <v>0</v>
      </c>
      <c r="CH91" s="298">
        <v>0</v>
      </c>
      <c r="CI91" s="298">
        <v>0</v>
      </c>
      <c r="CJ91" s="298">
        <v>0</v>
      </c>
      <c r="CK91" s="298">
        <v>0</v>
      </c>
      <c r="CL91" s="298">
        <v>0</v>
      </c>
      <c r="CM91" s="298">
        <v>0</v>
      </c>
      <c r="CN91" s="298">
        <v>0</v>
      </c>
      <c r="CO91" s="298">
        <v>0</v>
      </c>
      <c r="CP91" s="298">
        <v>0</v>
      </c>
      <c r="CQ91" s="298">
        <v>0</v>
      </c>
    </row>
    <row r="92" spans="1:95" x14ac:dyDescent="0.3">
      <c r="A92" s="270"/>
      <c r="B92" s="270">
        <v>325</v>
      </c>
      <c r="C92" s="270" t="s">
        <v>260</v>
      </c>
      <c r="D92" s="270" t="s">
        <v>408</v>
      </c>
      <c r="E92" s="270">
        <v>0</v>
      </c>
      <c r="F92" s="270">
        <v>0</v>
      </c>
      <c r="G92" s="270">
        <v>0</v>
      </c>
      <c r="H92" s="270">
        <v>0</v>
      </c>
      <c r="I92" s="270">
        <v>0</v>
      </c>
      <c r="J92" s="270">
        <v>0</v>
      </c>
      <c r="K92" s="270">
        <v>0</v>
      </c>
      <c r="L92" s="270">
        <v>0</v>
      </c>
      <c r="M92" s="270">
        <v>0</v>
      </c>
      <c r="N92" s="270">
        <v>0</v>
      </c>
      <c r="O92" s="270">
        <v>0</v>
      </c>
      <c r="P92" s="270">
        <v>0</v>
      </c>
      <c r="Q92" s="270">
        <v>0</v>
      </c>
      <c r="R92" s="270">
        <v>0</v>
      </c>
      <c r="S92" s="270">
        <v>0</v>
      </c>
      <c r="T92" s="270">
        <v>0</v>
      </c>
      <c r="U92" s="270">
        <v>0</v>
      </c>
      <c r="V92" s="270">
        <v>0</v>
      </c>
      <c r="W92" s="270">
        <v>0</v>
      </c>
      <c r="X92" s="270">
        <v>0</v>
      </c>
      <c r="Y92" s="270">
        <v>0</v>
      </c>
      <c r="Z92" s="270">
        <v>0</v>
      </c>
      <c r="AA92" s="270">
        <v>0</v>
      </c>
      <c r="AB92" s="270">
        <v>0</v>
      </c>
      <c r="AC92" s="270">
        <v>0</v>
      </c>
      <c r="AD92" s="270">
        <v>0</v>
      </c>
      <c r="AE92" s="270">
        <v>0</v>
      </c>
      <c r="AF92" s="270">
        <v>0</v>
      </c>
      <c r="AG92" s="270">
        <v>0</v>
      </c>
      <c r="AH92" s="270">
        <v>0</v>
      </c>
      <c r="AI92" s="270">
        <v>0</v>
      </c>
      <c r="AJ92" s="270">
        <v>0</v>
      </c>
      <c r="AK92" s="270">
        <v>0</v>
      </c>
      <c r="AL92" s="270">
        <v>0</v>
      </c>
      <c r="AM92" s="270">
        <v>0</v>
      </c>
      <c r="AN92" s="270">
        <v>0</v>
      </c>
      <c r="AO92" s="270">
        <v>0</v>
      </c>
      <c r="AP92" s="270">
        <v>0</v>
      </c>
      <c r="AQ92" s="270">
        <v>0</v>
      </c>
      <c r="AR92" s="270">
        <v>0</v>
      </c>
      <c r="AS92" s="270">
        <v>0</v>
      </c>
      <c r="AT92" s="270">
        <v>0</v>
      </c>
      <c r="AU92" s="270">
        <v>0</v>
      </c>
      <c r="AV92" s="270">
        <v>0</v>
      </c>
      <c r="AW92" s="270">
        <v>0</v>
      </c>
      <c r="AX92" s="270">
        <v>0</v>
      </c>
      <c r="AY92" s="270">
        <v>0</v>
      </c>
      <c r="AZ92" s="270">
        <v>0</v>
      </c>
      <c r="BA92" s="270">
        <v>0</v>
      </c>
      <c r="BB92" s="270">
        <v>0</v>
      </c>
      <c r="BC92" s="270">
        <v>0</v>
      </c>
      <c r="BD92" s="270">
        <v>0</v>
      </c>
      <c r="BE92" s="270">
        <v>0</v>
      </c>
      <c r="BF92" s="270">
        <v>0</v>
      </c>
      <c r="BG92" s="270">
        <v>0</v>
      </c>
      <c r="BH92" s="270">
        <v>0</v>
      </c>
      <c r="BI92" s="270">
        <v>0</v>
      </c>
      <c r="BJ92" s="270">
        <v>0</v>
      </c>
      <c r="BK92" s="270">
        <v>0</v>
      </c>
      <c r="BL92" s="270">
        <v>0</v>
      </c>
      <c r="BM92" s="270">
        <v>0</v>
      </c>
      <c r="BN92" s="270">
        <v>0</v>
      </c>
      <c r="BO92" s="270">
        <v>0</v>
      </c>
      <c r="BP92" s="270">
        <v>0</v>
      </c>
      <c r="BQ92" s="270">
        <v>0</v>
      </c>
      <c r="BR92" s="270">
        <v>0</v>
      </c>
      <c r="BS92" s="270">
        <v>0</v>
      </c>
      <c r="BT92" s="298">
        <v>0</v>
      </c>
      <c r="BU92" s="298">
        <v>0</v>
      </c>
      <c r="BV92" s="298">
        <v>0</v>
      </c>
      <c r="BW92" s="298">
        <v>0</v>
      </c>
      <c r="BX92" s="298">
        <v>0</v>
      </c>
      <c r="BY92" s="298">
        <v>0</v>
      </c>
      <c r="BZ92" s="298">
        <v>0</v>
      </c>
      <c r="CA92" s="298">
        <v>0</v>
      </c>
      <c r="CB92" s="298">
        <v>0</v>
      </c>
      <c r="CC92" s="298">
        <v>0</v>
      </c>
      <c r="CD92" s="298">
        <v>0</v>
      </c>
      <c r="CE92" s="298">
        <v>0</v>
      </c>
      <c r="CF92" s="298">
        <v>0</v>
      </c>
      <c r="CG92" s="298">
        <v>0</v>
      </c>
      <c r="CH92" s="298">
        <v>0</v>
      </c>
      <c r="CI92" s="298">
        <v>0</v>
      </c>
      <c r="CJ92" s="298">
        <v>0</v>
      </c>
      <c r="CK92" s="298">
        <v>0</v>
      </c>
      <c r="CL92" s="298">
        <v>0</v>
      </c>
      <c r="CM92" s="298">
        <v>0</v>
      </c>
      <c r="CN92" s="298">
        <v>0</v>
      </c>
      <c r="CO92" s="298">
        <v>0</v>
      </c>
      <c r="CP92" s="298">
        <v>0</v>
      </c>
      <c r="CQ92" s="298">
        <v>0</v>
      </c>
    </row>
    <row r="93" spans="1:95" x14ac:dyDescent="0.3">
      <c r="A93" s="270"/>
      <c r="B93" s="270">
        <v>326</v>
      </c>
      <c r="C93" s="270" t="s">
        <v>1771</v>
      </c>
      <c r="D93" s="270" t="s">
        <v>409</v>
      </c>
      <c r="E93" s="270"/>
      <c r="F93" s="270"/>
      <c r="G93" s="270"/>
      <c r="H93" s="270"/>
      <c r="I93" s="270"/>
      <c r="J93" s="270"/>
      <c r="K93" s="270"/>
      <c r="L93" s="270"/>
      <c r="M93" s="270"/>
      <c r="N93" s="270"/>
      <c r="O93" s="270"/>
      <c r="P93" s="270"/>
      <c r="Q93" s="270"/>
      <c r="R93" s="270"/>
      <c r="S93" s="270"/>
      <c r="T93" s="270"/>
      <c r="U93" s="270"/>
      <c r="V93" s="270"/>
      <c r="W93" s="270"/>
      <c r="X93" s="270"/>
      <c r="Y93" s="270"/>
      <c r="Z93" s="270"/>
      <c r="AA93" s="270"/>
      <c r="AB93" s="270"/>
      <c r="AC93" s="270"/>
      <c r="AD93" s="270"/>
      <c r="AE93" s="270"/>
      <c r="AF93" s="270"/>
      <c r="AG93" s="270"/>
      <c r="AH93" s="270"/>
      <c r="AI93" s="270"/>
      <c r="AJ93" s="270"/>
      <c r="AK93" s="270"/>
      <c r="AL93" s="270"/>
      <c r="AM93" s="270"/>
      <c r="AN93" s="270"/>
      <c r="AO93" s="270"/>
      <c r="AP93" s="270"/>
      <c r="AQ93" s="270"/>
      <c r="AR93" s="270"/>
      <c r="AS93" s="270"/>
      <c r="AT93" s="270"/>
      <c r="AU93" s="270"/>
      <c r="AV93" s="270"/>
      <c r="AW93" s="270"/>
      <c r="AX93" s="270"/>
      <c r="AY93" s="270"/>
      <c r="AZ93" s="270"/>
      <c r="BA93" s="270"/>
      <c r="BB93" s="270"/>
      <c r="BC93" s="270"/>
      <c r="BD93" s="270"/>
      <c r="BE93" s="270"/>
      <c r="BF93" s="270"/>
      <c r="BG93" s="270"/>
      <c r="BH93" s="270"/>
      <c r="BI93" s="270"/>
      <c r="BJ93" s="270"/>
      <c r="BK93" s="270"/>
      <c r="BL93" s="270"/>
      <c r="BM93" s="270"/>
      <c r="BN93" s="270"/>
      <c r="BO93" s="270"/>
      <c r="BP93" s="270"/>
      <c r="BQ93" s="270"/>
      <c r="BR93" s="270"/>
      <c r="BS93" s="270"/>
    </row>
    <row r="94" spans="1:95" x14ac:dyDescent="0.3">
      <c r="A94" s="270">
        <v>327</v>
      </c>
      <c r="B94" s="270">
        <v>327</v>
      </c>
      <c r="C94" s="270" t="s">
        <v>634</v>
      </c>
      <c r="D94" s="270" t="s">
        <v>410</v>
      </c>
      <c r="E94" s="1112">
        <v>0</v>
      </c>
      <c r="F94" s="1112">
        <v>0</v>
      </c>
      <c r="G94" s="1112">
        <v>0</v>
      </c>
      <c r="H94" s="1112">
        <v>624775</v>
      </c>
      <c r="I94" s="270">
        <v>89940</v>
      </c>
      <c r="J94" s="1112">
        <v>66250</v>
      </c>
      <c r="K94" s="1112">
        <v>1511212</v>
      </c>
      <c r="L94" s="1112">
        <v>0</v>
      </c>
      <c r="M94" s="1112">
        <v>0</v>
      </c>
      <c r="N94" s="270">
        <v>8500</v>
      </c>
      <c r="O94" s="1112">
        <v>28360</v>
      </c>
      <c r="P94" s="270">
        <v>0</v>
      </c>
      <c r="Q94" s="1112">
        <v>177409</v>
      </c>
      <c r="R94" s="1112">
        <v>0</v>
      </c>
      <c r="S94" s="270">
        <v>0</v>
      </c>
      <c r="T94" s="270">
        <v>0</v>
      </c>
      <c r="U94" s="1112">
        <v>5245933</v>
      </c>
      <c r="V94" s="1112">
        <v>0</v>
      </c>
      <c r="W94" s="1112">
        <v>12643</v>
      </c>
      <c r="X94" s="1112">
        <v>0</v>
      </c>
      <c r="Y94" s="1112">
        <v>31225</v>
      </c>
      <c r="Z94" s="270">
        <v>0</v>
      </c>
      <c r="AA94" s="1112">
        <v>427564</v>
      </c>
      <c r="AB94" s="1112">
        <v>0</v>
      </c>
      <c r="AC94" s="1112">
        <v>0</v>
      </c>
      <c r="AD94" s="1112">
        <v>3040</v>
      </c>
      <c r="AE94" s="1112">
        <v>162668</v>
      </c>
      <c r="AF94" s="270">
        <v>0</v>
      </c>
      <c r="AG94" s="270">
        <v>1303353</v>
      </c>
      <c r="AH94" s="1112">
        <v>0</v>
      </c>
      <c r="AI94" s="270">
        <v>558694</v>
      </c>
      <c r="AJ94" s="1112">
        <v>14186</v>
      </c>
      <c r="AK94" s="1112">
        <v>148138</v>
      </c>
      <c r="AL94" s="270">
        <v>631356</v>
      </c>
      <c r="AM94" s="270">
        <v>0</v>
      </c>
      <c r="AN94" s="1112">
        <v>3348</v>
      </c>
      <c r="AO94" s="270">
        <v>0</v>
      </c>
      <c r="AP94" s="1112">
        <v>322980</v>
      </c>
      <c r="AQ94" s="270">
        <v>43517</v>
      </c>
      <c r="AR94" s="1112">
        <v>0</v>
      </c>
      <c r="AS94" s="1112">
        <v>0</v>
      </c>
      <c r="AT94" s="270">
        <v>0</v>
      </c>
      <c r="AU94" s="1112">
        <v>0</v>
      </c>
      <c r="AV94" s="270">
        <v>25750</v>
      </c>
      <c r="AW94" s="1112">
        <v>23052</v>
      </c>
      <c r="AX94" s="1112">
        <v>4375</v>
      </c>
      <c r="AY94" s="1112">
        <v>0</v>
      </c>
      <c r="AZ94" s="270">
        <v>0</v>
      </c>
      <c r="BA94" s="270">
        <v>57846</v>
      </c>
      <c r="BB94" s="270">
        <v>0</v>
      </c>
      <c r="BC94" s="1112">
        <v>168102</v>
      </c>
      <c r="BD94" s="270">
        <v>73084</v>
      </c>
      <c r="BE94" s="1112">
        <v>0</v>
      </c>
      <c r="BF94" s="1112">
        <v>5250</v>
      </c>
      <c r="BG94" s="1112">
        <v>33218</v>
      </c>
      <c r="BH94" s="270">
        <v>143019</v>
      </c>
      <c r="BI94" s="1112">
        <v>0</v>
      </c>
      <c r="BJ94" s="1112">
        <v>0</v>
      </c>
      <c r="BK94" s="1112">
        <v>0</v>
      </c>
      <c r="BL94" s="270">
        <v>1596862</v>
      </c>
      <c r="BM94" s="1112">
        <v>330035</v>
      </c>
      <c r="BN94" s="1112">
        <v>0</v>
      </c>
      <c r="BO94" s="1112">
        <v>0</v>
      </c>
      <c r="BP94" s="1112">
        <v>38500</v>
      </c>
      <c r="BQ94" s="1112">
        <v>0</v>
      </c>
      <c r="BR94" s="1112">
        <v>0</v>
      </c>
      <c r="BS94" s="270">
        <v>0</v>
      </c>
      <c r="BT94" s="298">
        <v>140780</v>
      </c>
      <c r="BU94" s="298">
        <v>0</v>
      </c>
      <c r="BV94" s="298">
        <v>0</v>
      </c>
      <c r="BW94" s="298">
        <v>43898</v>
      </c>
      <c r="BX94" s="298">
        <v>206018</v>
      </c>
      <c r="BY94" s="298">
        <v>0</v>
      </c>
      <c r="BZ94" s="298">
        <v>0</v>
      </c>
      <c r="CA94" s="298">
        <v>112022</v>
      </c>
      <c r="CB94" s="298">
        <v>0</v>
      </c>
      <c r="CC94" s="298">
        <v>0</v>
      </c>
      <c r="CD94" s="298">
        <v>0</v>
      </c>
      <c r="CE94" s="298">
        <v>4500</v>
      </c>
      <c r="CF94" s="298">
        <v>0</v>
      </c>
      <c r="CG94" s="298">
        <v>208937</v>
      </c>
      <c r="CH94" s="298">
        <v>17212007</v>
      </c>
      <c r="CI94" s="298">
        <v>8000</v>
      </c>
      <c r="CJ94" s="298">
        <v>62643</v>
      </c>
      <c r="CK94" s="298">
        <v>0</v>
      </c>
      <c r="CL94" s="298">
        <v>99533</v>
      </c>
      <c r="CM94" s="298">
        <v>0</v>
      </c>
      <c r="CN94" s="298">
        <v>1003196</v>
      </c>
      <c r="CO94" s="298">
        <v>19407</v>
      </c>
      <c r="CP94" s="298">
        <v>0</v>
      </c>
      <c r="CQ94" s="298">
        <v>0</v>
      </c>
    </row>
    <row r="95" spans="1:95" x14ac:dyDescent="0.3">
      <c r="A95" s="270">
        <v>328</v>
      </c>
      <c r="B95" s="270">
        <v>328</v>
      </c>
      <c r="C95" s="270" t="s">
        <v>550</v>
      </c>
      <c r="D95" s="270" t="s">
        <v>411</v>
      </c>
      <c r="E95" s="1112">
        <v>0</v>
      </c>
      <c r="F95" s="270">
        <v>0</v>
      </c>
      <c r="G95" s="270">
        <v>0</v>
      </c>
      <c r="H95" s="1112">
        <v>0</v>
      </c>
      <c r="I95" s="270">
        <v>552622</v>
      </c>
      <c r="J95" s="1112">
        <v>0</v>
      </c>
      <c r="K95" s="270">
        <v>81700</v>
      </c>
      <c r="L95" s="270">
        <v>0</v>
      </c>
      <c r="M95" s="1112">
        <v>0</v>
      </c>
      <c r="N95" s="270">
        <v>0</v>
      </c>
      <c r="O95" s="1112">
        <v>2893526</v>
      </c>
      <c r="P95" s="270">
        <v>0</v>
      </c>
      <c r="Q95" s="270">
        <v>0</v>
      </c>
      <c r="R95" s="1112">
        <v>0</v>
      </c>
      <c r="S95" s="270">
        <v>0</v>
      </c>
      <c r="T95" s="270">
        <v>0</v>
      </c>
      <c r="U95" s="270">
        <v>3503153</v>
      </c>
      <c r="V95" s="1112">
        <v>0</v>
      </c>
      <c r="W95" s="1112">
        <v>0</v>
      </c>
      <c r="X95" s="270">
        <v>0</v>
      </c>
      <c r="Y95" s="1112">
        <v>1636122</v>
      </c>
      <c r="Z95" s="270">
        <v>0</v>
      </c>
      <c r="AA95" s="270">
        <v>0</v>
      </c>
      <c r="AB95" s="1112">
        <v>3198215</v>
      </c>
      <c r="AC95" s="270">
        <v>0</v>
      </c>
      <c r="AD95" s="270">
        <v>978</v>
      </c>
      <c r="AE95" s="1112">
        <v>3401428</v>
      </c>
      <c r="AF95" s="270">
        <v>0</v>
      </c>
      <c r="AG95" s="270">
        <v>0</v>
      </c>
      <c r="AH95" s="270">
        <v>0</v>
      </c>
      <c r="AI95" s="270">
        <v>3821882</v>
      </c>
      <c r="AJ95" s="270">
        <v>29369</v>
      </c>
      <c r="AK95" s="1112">
        <v>0</v>
      </c>
      <c r="AL95" s="270">
        <v>1496209</v>
      </c>
      <c r="AM95" s="270">
        <v>0</v>
      </c>
      <c r="AN95" s="1112">
        <v>0</v>
      </c>
      <c r="AO95" s="270">
        <v>0</v>
      </c>
      <c r="AP95" s="1112">
        <v>527686</v>
      </c>
      <c r="AQ95" s="270">
        <v>0</v>
      </c>
      <c r="AR95" s="270">
        <v>0</v>
      </c>
      <c r="AS95" s="270">
        <v>0</v>
      </c>
      <c r="AT95" s="270">
        <v>0</v>
      </c>
      <c r="AU95" s="270">
        <v>0</v>
      </c>
      <c r="AV95" s="270">
        <v>0</v>
      </c>
      <c r="AW95" s="270">
        <v>492905</v>
      </c>
      <c r="AX95" s="270">
        <v>0</v>
      </c>
      <c r="AY95" s="1112">
        <v>0</v>
      </c>
      <c r="AZ95" s="270">
        <v>0</v>
      </c>
      <c r="BA95" s="270">
        <v>0</v>
      </c>
      <c r="BB95" s="1112">
        <v>0</v>
      </c>
      <c r="BC95" s="1112">
        <v>99584</v>
      </c>
      <c r="BD95" s="270">
        <v>0</v>
      </c>
      <c r="BE95" s="270">
        <v>0</v>
      </c>
      <c r="BF95" s="270">
        <v>4610269</v>
      </c>
      <c r="BG95" s="1112">
        <v>2515636</v>
      </c>
      <c r="BH95" s="270">
        <v>65750</v>
      </c>
      <c r="BI95" s="270">
        <v>0</v>
      </c>
      <c r="BJ95" s="270">
        <v>0</v>
      </c>
      <c r="BK95" s="1112">
        <v>0</v>
      </c>
      <c r="BL95" s="270">
        <v>157605</v>
      </c>
      <c r="BM95" s="1112">
        <v>0</v>
      </c>
      <c r="BN95" s="1112">
        <v>0</v>
      </c>
      <c r="BO95" s="270">
        <v>0</v>
      </c>
      <c r="BP95" s="1112">
        <v>0</v>
      </c>
      <c r="BQ95" s="1112">
        <v>0</v>
      </c>
      <c r="BR95" s="1112">
        <v>0</v>
      </c>
      <c r="BS95" s="270">
        <v>0</v>
      </c>
      <c r="BT95" s="298">
        <v>1109500</v>
      </c>
      <c r="BU95" s="298">
        <v>0</v>
      </c>
      <c r="BV95" s="298">
        <v>0</v>
      </c>
      <c r="BW95" s="298">
        <v>30000</v>
      </c>
      <c r="BX95" s="298">
        <v>42000</v>
      </c>
      <c r="BY95" s="298">
        <v>41887</v>
      </c>
      <c r="BZ95" s="298">
        <v>0</v>
      </c>
      <c r="CA95" s="298">
        <v>0</v>
      </c>
      <c r="CB95" s="298">
        <v>0</v>
      </c>
      <c r="CC95" s="298">
        <v>962027</v>
      </c>
      <c r="CD95" s="298">
        <v>5015301</v>
      </c>
      <c r="CE95" s="298">
        <v>35531</v>
      </c>
      <c r="CF95" s="298">
        <v>0</v>
      </c>
      <c r="CG95" s="298">
        <v>354264</v>
      </c>
      <c r="CH95" s="298">
        <v>182945644</v>
      </c>
      <c r="CI95" s="298">
        <v>224049</v>
      </c>
      <c r="CJ95" s="298">
        <v>68579</v>
      </c>
      <c r="CK95" s="298">
        <v>0</v>
      </c>
      <c r="CL95" s="298">
        <v>764369</v>
      </c>
      <c r="CM95" s="298">
        <v>308840</v>
      </c>
      <c r="CN95" s="298">
        <v>0</v>
      </c>
      <c r="CO95" s="298">
        <v>513401</v>
      </c>
      <c r="CP95" s="298">
        <v>0</v>
      </c>
      <c r="CQ95" s="298">
        <v>0</v>
      </c>
    </row>
    <row r="96" spans="1:95" x14ac:dyDescent="0.3">
      <c r="A96" s="270"/>
      <c r="B96" s="270">
        <v>330</v>
      </c>
      <c r="C96" s="270" t="s">
        <v>635</v>
      </c>
      <c r="D96" s="270" t="s">
        <v>412</v>
      </c>
      <c r="E96" s="270"/>
      <c r="F96" s="270"/>
      <c r="G96" s="270"/>
      <c r="H96" s="270"/>
      <c r="I96" s="270"/>
      <c r="J96" s="270"/>
      <c r="K96" s="270"/>
      <c r="L96" s="270"/>
      <c r="M96" s="270"/>
      <c r="N96" s="270"/>
      <c r="O96" s="270"/>
      <c r="P96" s="270"/>
      <c r="Q96" s="270"/>
      <c r="R96" s="270"/>
      <c r="S96" s="270"/>
      <c r="T96" s="270"/>
      <c r="U96" s="270"/>
      <c r="V96" s="270"/>
      <c r="W96" s="270"/>
      <c r="X96" s="270"/>
      <c r="Y96" s="270"/>
      <c r="Z96" s="270"/>
      <c r="AA96" s="270"/>
      <c r="AB96" s="270"/>
      <c r="AC96" s="270"/>
      <c r="AD96" s="270"/>
      <c r="AE96" s="270"/>
      <c r="AF96" s="270"/>
      <c r="AG96" s="270"/>
      <c r="AH96" s="270"/>
      <c r="AI96" s="270"/>
      <c r="AJ96" s="270"/>
      <c r="AK96" s="270"/>
      <c r="AL96" s="270"/>
      <c r="AM96" s="270"/>
      <c r="AN96" s="270"/>
      <c r="AO96" s="270"/>
      <c r="AP96" s="270"/>
      <c r="AQ96" s="270"/>
      <c r="AR96" s="270"/>
      <c r="AS96" s="270"/>
      <c r="AT96" s="270"/>
      <c r="AU96" s="270"/>
      <c r="AV96" s="270"/>
      <c r="AW96" s="270"/>
      <c r="AX96" s="270"/>
      <c r="AY96" s="270"/>
      <c r="AZ96" s="270"/>
      <c r="BA96" s="270"/>
      <c r="BB96" s="270"/>
      <c r="BC96" s="270"/>
      <c r="BD96" s="270"/>
      <c r="BE96" s="270"/>
      <c r="BF96" s="270"/>
      <c r="BG96" s="270"/>
      <c r="BH96" s="270"/>
      <c r="BI96" s="270"/>
      <c r="BJ96" s="270"/>
      <c r="BK96" s="270"/>
      <c r="BL96" s="270"/>
      <c r="BM96" s="270"/>
      <c r="BN96" s="270"/>
      <c r="BO96" s="270"/>
      <c r="BP96" s="270"/>
      <c r="BQ96" s="270"/>
      <c r="BR96" s="270"/>
      <c r="BS96" s="270"/>
    </row>
    <row r="97" spans="1:95" x14ac:dyDescent="0.3">
      <c r="A97" s="270">
        <v>331</v>
      </c>
      <c r="B97" s="270">
        <v>331</v>
      </c>
      <c r="C97" s="270" t="s">
        <v>247</v>
      </c>
      <c r="D97" s="270" t="s">
        <v>413</v>
      </c>
      <c r="E97" s="270">
        <v>0</v>
      </c>
      <c r="F97" s="1112">
        <v>0</v>
      </c>
      <c r="G97" s="1112">
        <v>0</v>
      </c>
      <c r="H97" s="1112">
        <v>428671</v>
      </c>
      <c r="I97" s="270">
        <v>83287</v>
      </c>
      <c r="J97" s="1112">
        <v>0</v>
      </c>
      <c r="K97" s="1112">
        <v>2162629</v>
      </c>
      <c r="L97" s="1112">
        <v>27375</v>
      </c>
      <c r="M97" s="1112">
        <v>0</v>
      </c>
      <c r="N97" s="270">
        <v>0</v>
      </c>
      <c r="O97" s="1112">
        <v>82903</v>
      </c>
      <c r="P97" s="270">
        <v>0</v>
      </c>
      <c r="Q97" s="1112">
        <v>11500</v>
      </c>
      <c r="R97" s="1112">
        <v>0</v>
      </c>
      <c r="S97" s="270">
        <v>0</v>
      </c>
      <c r="T97" s="1112">
        <v>0</v>
      </c>
      <c r="U97" s="1112">
        <v>1748835</v>
      </c>
      <c r="V97" s="1112">
        <v>0</v>
      </c>
      <c r="W97" s="270">
        <v>0</v>
      </c>
      <c r="X97" s="1112">
        <v>0</v>
      </c>
      <c r="Y97" s="1112">
        <v>135504</v>
      </c>
      <c r="Z97" s="270">
        <v>0</v>
      </c>
      <c r="AA97" s="1112">
        <v>58318</v>
      </c>
      <c r="AB97" s="1112">
        <v>273093</v>
      </c>
      <c r="AC97" s="1112">
        <v>0</v>
      </c>
      <c r="AD97" s="1112">
        <v>25820</v>
      </c>
      <c r="AE97" s="1112">
        <v>3213861</v>
      </c>
      <c r="AF97" s="270">
        <v>0</v>
      </c>
      <c r="AG97" s="270">
        <v>276179</v>
      </c>
      <c r="AH97" s="1112">
        <v>0</v>
      </c>
      <c r="AI97" s="1112">
        <v>0</v>
      </c>
      <c r="AJ97" s="1112">
        <v>282571</v>
      </c>
      <c r="AK97" s="1112">
        <v>235468</v>
      </c>
      <c r="AL97" s="270">
        <v>93985</v>
      </c>
      <c r="AM97" s="270">
        <v>0</v>
      </c>
      <c r="AN97" s="1112">
        <v>2724</v>
      </c>
      <c r="AO97" s="270">
        <v>0</v>
      </c>
      <c r="AP97" s="1112">
        <v>225684</v>
      </c>
      <c r="AQ97" s="270">
        <v>75140</v>
      </c>
      <c r="AR97" s="1112">
        <v>0</v>
      </c>
      <c r="AS97" s="1112">
        <v>0</v>
      </c>
      <c r="AT97" s="270">
        <v>0</v>
      </c>
      <c r="AU97" s="1112">
        <v>0</v>
      </c>
      <c r="AV97" s="270">
        <v>10000</v>
      </c>
      <c r="AW97" s="1112">
        <v>101076</v>
      </c>
      <c r="AX97" s="1112">
        <v>0</v>
      </c>
      <c r="AY97" s="1112">
        <v>0</v>
      </c>
      <c r="AZ97" s="270">
        <v>0</v>
      </c>
      <c r="BA97" s="270">
        <v>417829</v>
      </c>
      <c r="BB97" s="270">
        <v>0</v>
      </c>
      <c r="BC97" s="1112">
        <v>100929</v>
      </c>
      <c r="BD97" s="270">
        <v>78245</v>
      </c>
      <c r="BE97" s="1112">
        <v>0</v>
      </c>
      <c r="BF97" s="1112">
        <v>29388</v>
      </c>
      <c r="BG97" s="1112">
        <v>130566</v>
      </c>
      <c r="BH97" s="1112">
        <v>202432</v>
      </c>
      <c r="BI97" s="1112">
        <v>0</v>
      </c>
      <c r="BJ97" s="1112">
        <v>0</v>
      </c>
      <c r="BK97" s="1112">
        <v>0</v>
      </c>
      <c r="BL97" s="270">
        <v>180838</v>
      </c>
      <c r="BM97" s="270">
        <v>160000</v>
      </c>
      <c r="BN97" s="1112">
        <v>0</v>
      </c>
      <c r="BO97" s="1112">
        <v>0</v>
      </c>
      <c r="BP97" s="1112">
        <v>0</v>
      </c>
      <c r="BQ97" s="1112">
        <v>0</v>
      </c>
      <c r="BR97" s="1112">
        <v>0</v>
      </c>
      <c r="BS97" s="270">
        <v>0</v>
      </c>
      <c r="BT97" s="298">
        <v>110840</v>
      </c>
      <c r="BU97" s="298">
        <v>0</v>
      </c>
      <c r="BV97" s="298">
        <v>14588</v>
      </c>
      <c r="BW97" s="298">
        <v>46060</v>
      </c>
      <c r="BX97" s="298">
        <v>363240</v>
      </c>
      <c r="BY97" s="298">
        <v>0</v>
      </c>
      <c r="BZ97" s="298">
        <v>0</v>
      </c>
      <c r="CA97" s="298">
        <v>612464</v>
      </c>
      <c r="CB97" s="298">
        <v>0</v>
      </c>
      <c r="CC97" s="298">
        <v>3462925</v>
      </c>
      <c r="CD97" s="298">
        <v>95828</v>
      </c>
      <c r="CE97" s="298">
        <v>40862</v>
      </c>
      <c r="CF97" s="298">
        <v>40789</v>
      </c>
      <c r="CG97" s="298">
        <v>164366</v>
      </c>
      <c r="CH97" s="298">
        <v>30433813</v>
      </c>
      <c r="CI97" s="298">
        <v>298332</v>
      </c>
      <c r="CJ97" s="298">
        <v>9918</v>
      </c>
      <c r="CK97" s="298">
        <v>0</v>
      </c>
      <c r="CL97" s="298">
        <v>0</v>
      </c>
      <c r="CM97" s="298">
        <v>0</v>
      </c>
      <c r="CN97" s="298">
        <v>0</v>
      </c>
      <c r="CO97" s="298">
        <v>229283</v>
      </c>
      <c r="CP97" s="298">
        <v>0</v>
      </c>
      <c r="CQ97" s="298">
        <v>0</v>
      </c>
    </row>
    <row r="98" spans="1:95" x14ac:dyDescent="0.3">
      <c r="A98" s="270">
        <v>332</v>
      </c>
      <c r="B98" s="270">
        <v>332</v>
      </c>
      <c r="C98" s="270" t="s">
        <v>248</v>
      </c>
      <c r="D98" s="270" t="s">
        <v>414</v>
      </c>
      <c r="E98" s="1112">
        <v>0</v>
      </c>
      <c r="F98" s="1112">
        <v>0</v>
      </c>
      <c r="G98" s="270">
        <v>6705</v>
      </c>
      <c r="H98" s="1112">
        <v>114465</v>
      </c>
      <c r="I98" s="270">
        <v>559396</v>
      </c>
      <c r="J98" s="1112">
        <v>0</v>
      </c>
      <c r="K98" s="1112">
        <v>770676</v>
      </c>
      <c r="L98" s="1112">
        <v>0</v>
      </c>
      <c r="M98" s="1112">
        <v>0</v>
      </c>
      <c r="N98" s="270">
        <v>98600</v>
      </c>
      <c r="O98" s="1112">
        <v>2297214</v>
      </c>
      <c r="P98" s="270">
        <v>0</v>
      </c>
      <c r="Q98" s="1112">
        <v>0</v>
      </c>
      <c r="R98" s="1112">
        <v>0</v>
      </c>
      <c r="S98" s="270">
        <v>0</v>
      </c>
      <c r="T98" s="270">
        <v>0</v>
      </c>
      <c r="U98" s="1112">
        <v>2461579</v>
      </c>
      <c r="V98" s="1112">
        <v>0</v>
      </c>
      <c r="W98" s="270">
        <v>3636</v>
      </c>
      <c r="X98" s="270">
        <v>0</v>
      </c>
      <c r="Y98" s="1112">
        <v>1909321</v>
      </c>
      <c r="Z98" s="270">
        <v>0</v>
      </c>
      <c r="AA98" s="270">
        <v>733030</v>
      </c>
      <c r="AB98" s="1112">
        <v>332312</v>
      </c>
      <c r="AC98" s="1112">
        <v>31143</v>
      </c>
      <c r="AD98" s="1112">
        <v>0</v>
      </c>
      <c r="AE98" s="1112">
        <v>1818122</v>
      </c>
      <c r="AF98" s="270">
        <v>0</v>
      </c>
      <c r="AG98" s="270">
        <v>0</v>
      </c>
      <c r="AH98" s="1112">
        <v>0</v>
      </c>
      <c r="AI98" s="1112">
        <v>2412872</v>
      </c>
      <c r="AJ98" s="270">
        <v>1935</v>
      </c>
      <c r="AK98" s="1112">
        <v>79868</v>
      </c>
      <c r="AL98" s="270">
        <v>1085677</v>
      </c>
      <c r="AM98" s="270">
        <v>0</v>
      </c>
      <c r="AN98" s="1112">
        <v>23263</v>
      </c>
      <c r="AO98" s="1112">
        <v>0</v>
      </c>
      <c r="AP98" s="1112">
        <v>51016</v>
      </c>
      <c r="AQ98" s="270">
        <v>0</v>
      </c>
      <c r="AR98" s="270">
        <v>0</v>
      </c>
      <c r="AS98" s="1112">
        <v>0</v>
      </c>
      <c r="AT98" s="270">
        <v>0</v>
      </c>
      <c r="AU98" s="1112">
        <v>0</v>
      </c>
      <c r="AV98" s="270">
        <v>16650</v>
      </c>
      <c r="AW98" s="1112">
        <v>554308</v>
      </c>
      <c r="AX98" s="270">
        <v>0</v>
      </c>
      <c r="AY98" s="1112">
        <v>0</v>
      </c>
      <c r="AZ98" s="270">
        <v>0</v>
      </c>
      <c r="BA98" s="270">
        <v>90972</v>
      </c>
      <c r="BB98" s="270">
        <v>0</v>
      </c>
      <c r="BC98" s="1112">
        <v>17310</v>
      </c>
      <c r="BD98" s="270">
        <v>0</v>
      </c>
      <c r="BE98" s="270">
        <v>0</v>
      </c>
      <c r="BF98" s="1112">
        <v>4059685</v>
      </c>
      <c r="BG98" s="1112">
        <v>1023600</v>
      </c>
      <c r="BH98" s="270">
        <v>869024</v>
      </c>
      <c r="BI98" s="1112">
        <v>0</v>
      </c>
      <c r="BJ98" s="270">
        <v>0</v>
      </c>
      <c r="BK98" s="1112">
        <v>0</v>
      </c>
      <c r="BL98" s="270">
        <v>490766</v>
      </c>
      <c r="BM98" s="1112">
        <v>620008</v>
      </c>
      <c r="BN98" s="1112">
        <v>0</v>
      </c>
      <c r="BO98" s="1112">
        <v>0</v>
      </c>
      <c r="BP98" s="1112">
        <v>39386</v>
      </c>
      <c r="BQ98" s="1112">
        <v>0</v>
      </c>
      <c r="BR98" s="1112">
        <v>0</v>
      </c>
      <c r="BS98" s="270">
        <v>0</v>
      </c>
      <c r="BT98" s="298">
        <v>863621</v>
      </c>
      <c r="BU98" s="298">
        <v>0</v>
      </c>
      <c r="BV98" s="298">
        <v>0</v>
      </c>
      <c r="BW98" s="298">
        <v>67482</v>
      </c>
      <c r="BX98" s="298">
        <v>104417</v>
      </c>
      <c r="BY98" s="298">
        <v>20809</v>
      </c>
      <c r="BZ98" s="298">
        <v>0</v>
      </c>
      <c r="CA98" s="298">
        <v>43050</v>
      </c>
      <c r="CB98" s="298">
        <v>0</v>
      </c>
      <c r="CC98" s="298">
        <v>3539590</v>
      </c>
      <c r="CD98" s="298">
        <v>2822273</v>
      </c>
      <c r="CE98" s="298">
        <v>527378</v>
      </c>
      <c r="CF98" s="298">
        <v>0</v>
      </c>
      <c r="CG98" s="298">
        <v>347492</v>
      </c>
      <c r="CH98" s="298">
        <v>43685088</v>
      </c>
      <c r="CI98" s="298">
        <v>3007120</v>
      </c>
      <c r="CJ98" s="298">
        <v>6577</v>
      </c>
      <c r="CK98" s="298">
        <v>0</v>
      </c>
      <c r="CL98" s="298">
        <v>158973</v>
      </c>
      <c r="CM98" s="298">
        <v>469700</v>
      </c>
      <c r="CN98" s="298">
        <v>494866</v>
      </c>
      <c r="CO98" s="298">
        <v>248500</v>
      </c>
      <c r="CP98" s="298">
        <v>0</v>
      </c>
      <c r="CQ98" s="298">
        <v>0</v>
      </c>
    </row>
    <row r="99" spans="1:95" x14ac:dyDescent="0.3">
      <c r="A99" s="270">
        <v>333</v>
      </c>
      <c r="B99" s="270">
        <v>333</v>
      </c>
      <c r="C99" s="270" t="s">
        <v>184</v>
      </c>
      <c r="D99" s="270" t="s">
        <v>415</v>
      </c>
      <c r="E99" s="1112">
        <v>433551</v>
      </c>
      <c r="F99" s="1112">
        <v>9070512</v>
      </c>
      <c r="G99" s="1112">
        <v>881939</v>
      </c>
      <c r="H99" s="1112">
        <v>899536</v>
      </c>
      <c r="I99" s="1112">
        <v>392431</v>
      </c>
      <c r="J99" s="1112">
        <v>631958</v>
      </c>
      <c r="K99" s="1112">
        <v>28062074</v>
      </c>
      <c r="L99" s="1112">
        <v>509756</v>
      </c>
      <c r="M99" s="1112">
        <v>395299</v>
      </c>
      <c r="N99" s="1112">
        <v>3066724</v>
      </c>
      <c r="O99" s="1112">
        <v>474854</v>
      </c>
      <c r="P99" s="1112">
        <v>246705</v>
      </c>
      <c r="Q99" s="1112">
        <v>261881</v>
      </c>
      <c r="R99" s="1112">
        <v>1153051</v>
      </c>
      <c r="S99" s="270">
        <v>6963962</v>
      </c>
      <c r="T99" s="1112">
        <v>9015926</v>
      </c>
      <c r="U99" s="1112">
        <v>17891930</v>
      </c>
      <c r="V99" s="1112">
        <v>3163050</v>
      </c>
      <c r="W99" s="1112">
        <v>3399769</v>
      </c>
      <c r="X99" s="1112">
        <v>8087884</v>
      </c>
      <c r="Y99" s="1112">
        <v>2216994</v>
      </c>
      <c r="Z99" s="1112">
        <v>79062</v>
      </c>
      <c r="AA99" s="1112">
        <v>3131733</v>
      </c>
      <c r="AB99" s="1112">
        <v>834266</v>
      </c>
      <c r="AC99" s="1112">
        <v>477129</v>
      </c>
      <c r="AD99" s="1112">
        <v>515342</v>
      </c>
      <c r="AE99" s="1112">
        <v>12124913</v>
      </c>
      <c r="AF99" s="1112">
        <v>1391271</v>
      </c>
      <c r="AG99" s="1112">
        <v>7445420</v>
      </c>
      <c r="AH99" s="1112">
        <v>2020216</v>
      </c>
      <c r="AI99" s="1112">
        <v>938585</v>
      </c>
      <c r="AJ99" s="1112">
        <v>6781035</v>
      </c>
      <c r="AK99" s="1112">
        <v>2087204</v>
      </c>
      <c r="AL99" s="270">
        <v>1094843</v>
      </c>
      <c r="AM99" s="1112">
        <v>0</v>
      </c>
      <c r="AN99" s="1112">
        <v>116805</v>
      </c>
      <c r="AO99" s="1112">
        <v>2902653</v>
      </c>
      <c r="AP99" s="1112">
        <v>5546401</v>
      </c>
      <c r="AQ99" s="1112">
        <v>422262</v>
      </c>
      <c r="AR99" s="1112">
        <v>251182</v>
      </c>
      <c r="AS99" s="1112">
        <v>1566323</v>
      </c>
      <c r="AT99" s="1112">
        <v>427683</v>
      </c>
      <c r="AU99" s="1112">
        <v>73180</v>
      </c>
      <c r="AV99" s="270">
        <v>91512</v>
      </c>
      <c r="AW99" s="1112">
        <v>3193846</v>
      </c>
      <c r="AX99" s="1112">
        <v>846014</v>
      </c>
      <c r="AY99" s="1112">
        <v>15750859</v>
      </c>
      <c r="AZ99" s="1112">
        <v>3817195</v>
      </c>
      <c r="BA99" s="1112">
        <v>2218246</v>
      </c>
      <c r="BB99" s="1112">
        <v>3613842</v>
      </c>
      <c r="BC99" s="1112">
        <v>1134346</v>
      </c>
      <c r="BD99" s="1112">
        <v>853514</v>
      </c>
      <c r="BE99" s="1112">
        <v>193147</v>
      </c>
      <c r="BF99" s="1112">
        <v>868207</v>
      </c>
      <c r="BG99" s="1112">
        <v>2249830</v>
      </c>
      <c r="BH99" s="1112">
        <v>15243487</v>
      </c>
      <c r="BI99" s="1112">
        <v>370063</v>
      </c>
      <c r="BJ99" s="1112">
        <v>201363</v>
      </c>
      <c r="BK99" s="1112">
        <v>9173836</v>
      </c>
      <c r="BL99" s="1112">
        <v>7765680</v>
      </c>
      <c r="BM99" s="1112">
        <v>7739739</v>
      </c>
      <c r="BN99" s="1112">
        <v>140933</v>
      </c>
      <c r="BO99" s="1112">
        <v>3181648</v>
      </c>
      <c r="BP99" s="1112">
        <v>1870385</v>
      </c>
      <c r="BQ99" s="1112">
        <v>7700824</v>
      </c>
      <c r="BR99" s="1112">
        <v>1901124</v>
      </c>
      <c r="BS99" s="1112">
        <v>983170</v>
      </c>
      <c r="BT99" s="298">
        <v>1652586</v>
      </c>
      <c r="BU99" s="298">
        <v>1386413</v>
      </c>
      <c r="BV99" s="298">
        <v>470209</v>
      </c>
      <c r="BW99" s="298">
        <v>719983</v>
      </c>
      <c r="BX99" s="298">
        <v>2767797</v>
      </c>
      <c r="BY99" s="298">
        <v>568771</v>
      </c>
      <c r="BZ99" s="298">
        <v>0</v>
      </c>
      <c r="CA99" s="298">
        <v>3915426</v>
      </c>
      <c r="CB99" s="298">
        <v>116990697</v>
      </c>
      <c r="CC99" s="298">
        <v>44103949</v>
      </c>
      <c r="CD99" s="298">
        <v>820008</v>
      </c>
      <c r="CE99" s="298">
        <v>1099809</v>
      </c>
      <c r="CF99" s="298">
        <v>210928</v>
      </c>
      <c r="CG99" s="298">
        <v>983255</v>
      </c>
      <c r="CH99" s="298">
        <v>174082910</v>
      </c>
      <c r="CI99" s="298">
        <v>8226380</v>
      </c>
      <c r="CJ99" s="298">
        <v>898663</v>
      </c>
      <c r="CK99" s="298">
        <v>2464523</v>
      </c>
      <c r="CL99" s="298">
        <v>891158</v>
      </c>
      <c r="CM99" s="298">
        <v>18474366</v>
      </c>
      <c r="CN99" s="298">
        <v>2229568</v>
      </c>
      <c r="CO99" s="298">
        <v>1496835</v>
      </c>
      <c r="CP99" s="298">
        <v>1827055</v>
      </c>
      <c r="CQ99" s="298">
        <v>11020206</v>
      </c>
    </row>
    <row r="100" spans="1:95" x14ac:dyDescent="0.3">
      <c r="A100" s="270">
        <v>334</v>
      </c>
      <c r="B100" s="270">
        <v>334</v>
      </c>
      <c r="C100" s="270" t="s">
        <v>275</v>
      </c>
      <c r="D100" s="270" t="s">
        <v>416</v>
      </c>
      <c r="E100" s="1112">
        <v>52753</v>
      </c>
      <c r="F100" s="1112">
        <v>39167776</v>
      </c>
      <c r="G100" s="1112">
        <v>1674519</v>
      </c>
      <c r="H100" s="1112">
        <v>8048188</v>
      </c>
      <c r="I100" s="1112">
        <v>0</v>
      </c>
      <c r="J100" s="1112">
        <v>2394758</v>
      </c>
      <c r="K100" s="1112">
        <v>84476155</v>
      </c>
      <c r="L100" s="1112">
        <v>1045660</v>
      </c>
      <c r="M100" s="1112">
        <v>452137</v>
      </c>
      <c r="N100" s="1112">
        <v>2502224</v>
      </c>
      <c r="O100" s="1112">
        <v>2293703</v>
      </c>
      <c r="P100" s="1112">
        <v>30118</v>
      </c>
      <c r="Q100" s="1112">
        <v>596140</v>
      </c>
      <c r="R100" s="1112">
        <v>4806462</v>
      </c>
      <c r="S100" s="270">
        <v>6770518</v>
      </c>
      <c r="T100" s="1112">
        <v>15547632</v>
      </c>
      <c r="U100" s="1112">
        <v>12557198</v>
      </c>
      <c r="V100" s="1112">
        <v>8672848</v>
      </c>
      <c r="W100" s="1112">
        <v>287784</v>
      </c>
      <c r="X100" s="1112">
        <v>12624757</v>
      </c>
      <c r="Y100" s="1112">
        <v>7331516</v>
      </c>
      <c r="Z100" s="1112">
        <v>91214</v>
      </c>
      <c r="AA100" s="1112">
        <v>71574402</v>
      </c>
      <c r="AB100" s="1112">
        <v>2601596</v>
      </c>
      <c r="AC100" s="1112">
        <v>1125925</v>
      </c>
      <c r="AD100" s="1112">
        <v>346884</v>
      </c>
      <c r="AE100" s="1112">
        <v>30872169</v>
      </c>
      <c r="AF100" s="1112">
        <v>2777461</v>
      </c>
      <c r="AG100" s="1112">
        <v>3399469</v>
      </c>
      <c r="AH100" s="1112">
        <v>4370797</v>
      </c>
      <c r="AI100" s="1112">
        <v>83694</v>
      </c>
      <c r="AJ100" s="1112">
        <v>3205067</v>
      </c>
      <c r="AK100" s="1112">
        <v>7383325</v>
      </c>
      <c r="AL100" s="270">
        <v>7134320</v>
      </c>
      <c r="AM100" s="1112">
        <v>0</v>
      </c>
      <c r="AN100" s="1112">
        <v>128174</v>
      </c>
      <c r="AO100" s="1112">
        <v>107150</v>
      </c>
      <c r="AP100" s="1112">
        <v>11062159</v>
      </c>
      <c r="AQ100" s="1112">
        <v>5554148</v>
      </c>
      <c r="AR100" s="1112">
        <v>305964</v>
      </c>
      <c r="AS100" s="1112">
        <v>576730</v>
      </c>
      <c r="AT100" s="1112">
        <v>1160246</v>
      </c>
      <c r="AU100" s="1112">
        <v>217268</v>
      </c>
      <c r="AV100" s="270">
        <v>1062199</v>
      </c>
      <c r="AW100" s="1112">
        <v>6999600</v>
      </c>
      <c r="AX100" s="1112">
        <v>2520244</v>
      </c>
      <c r="AY100" s="1112">
        <v>245518681</v>
      </c>
      <c r="AZ100" s="1112">
        <v>4314020</v>
      </c>
      <c r="BA100" s="1112">
        <v>9878365</v>
      </c>
      <c r="BB100" s="1112">
        <v>2017296</v>
      </c>
      <c r="BC100" s="1112">
        <v>1552232</v>
      </c>
      <c r="BD100" s="270">
        <v>7286269</v>
      </c>
      <c r="BE100" s="1112">
        <v>127123</v>
      </c>
      <c r="BF100" s="1112">
        <v>603414</v>
      </c>
      <c r="BG100" s="1112">
        <v>2858400</v>
      </c>
      <c r="BH100" s="1112">
        <v>29750349</v>
      </c>
      <c r="BI100" s="1112">
        <v>173835</v>
      </c>
      <c r="BJ100" s="1112">
        <v>68009</v>
      </c>
      <c r="BK100" s="1112">
        <v>79144041</v>
      </c>
      <c r="BL100" s="1112">
        <v>59981903</v>
      </c>
      <c r="BM100" s="1112">
        <v>16051545</v>
      </c>
      <c r="BN100" s="1112">
        <v>340168</v>
      </c>
      <c r="BO100" s="1112">
        <v>1502728</v>
      </c>
      <c r="BP100" s="1112">
        <v>4625674</v>
      </c>
      <c r="BQ100" s="1112">
        <v>8085772</v>
      </c>
      <c r="BR100" s="1112">
        <v>3120185</v>
      </c>
      <c r="BS100" s="1112">
        <v>0</v>
      </c>
      <c r="BT100" s="298">
        <v>6081572</v>
      </c>
      <c r="BU100" s="298">
        <v>5940133</v>
      </c>
      <c r="BV100" s="298">
        <v>1119380</v>
      </c>
      <c r="BW100" s="298">
        <v>5227364</v>
      </c>
      <c r="BX100" s="298">
        <v>11020287</v>
      </c>
      <c r="BY100" s="298">
        <v>296070</v>
      </c>
      <c r="BZ100" s="298">
        <v>0</v>
      </c>
      <c r="CA100" s="298">
        <v>19746769</v>
      </c>
      <c r="CB100" s="298">
        <v>518844420</v>
      </c>
      <c r="CC100" s="298">
        <v>103848026</v>
      </c>
      <c r="CD100" s="298">
        <v>931249</v>
      </c>
      <c r="CE100" s="298">
        <v>8011830</v>
      </c>
      <c r="CF100" s="298">
        <v>1925537</v>
      </c>
      <c r="CG100" s="298">
        <v>5820663</v>
      </c>
      <c r="CH100" s="298">
        <v>542737314</v>
      </c>
      <c r="CI100" s="298">
        <v>42815381</v>
      </c>
      <c r="CJ100" s="298">
        <v>2057042</v>
      </c>
      <c r="CK100" s="298">
        <v>3400087</v>
      </c>
      <c r="CL100" s="298">
        <v>1435271</v>
      </c>
      <c r="CM100" s="298">
        <v>16397628</v>
      </c>
      <c r="CN100" s="298">
        <v>6340625</v>
      </c>
      <c r="CO100" s="298">
        <v>4176644</v>
      </c>
      <c r="CP100" s="298">
        <v>2397504</v>
      </c>
      <c r="CQ100" s="298">
        <v>34943261</v>
      </c>
    </row>
    <row r="101" spans="1:95" x14ac:dyDescent="0.3">
      <c r="A101" s="270">
        <v>335</v>
      </c>
      <c r="B101" s="270">
        <v>335</v>
      </c>
      <c r="C101" s="270" t="s">
        <v>117</v>
      </c>
      <c r="D101" s="270" t="s">
        <v>417</v>
      </c>
      <c r="E101" s="270">
        <v>0</v>
      </c>
      <c r="F101" s="270">
        <v>323</v>
      </c>
      <c r="G101" s="270">
        <v>0</v>
      </c>
      <c r="H101" s="270">
        <v>0</v>
      </c>
      <c r="I101" s="1112">
        <v>0</v>
      </c>
      <c r="J101" s="270">
        <v>0</v>
      </c>
      <c r="K101" s="270">
        <v>0</v>
      </c>
      <c r="L101" s="270">
        <v>0</v>
      </c>
      <c r="M101" s="270">
        <v>0</v>
      </c>
      <c r="N101" s="270">
        <v>0</v>
      </c>
      <c r="O101" s="270">
        <v>0</v>
      </c>
      <c r="P101" s="270">
        <v>0</v>
      </c>
      <c r="Q101" s="1112">
        <v>0</v>
      </c>
      <c r="R101" s="1112">
        <v>0</v>
      </c>
      <c r="S101" s="270">
        <v>0</v>
      </c>
      <c r="T101" s="270">
        <v>0</v>
      </c>
      <c r="U101" s="270">
        <v>0</v>
      </c>
      <c r="V101" s="270">
        <v>0</v>
      </c>
      <c r="W101" s="270">
        <v>0</v>
      </c>
      <c r="X101" s="270">
        <v>0</v>
      </c>
      <c r="Y101" s="270">
        <v>0</v>
      </c>
      <c r="Z101" s="270">
        <v>0</v>
      </c>
      <c r="AA101" s="270">
        <v>0</v>
      </c>
      <c r="AB101" s="270">
        <v>0</v>
      </c>
      <c r="AC101" s="270">
        <v>0</v>
      </c>
      <c r="AD101" s="270">
        <v>0</v>
      </c>
      <c r="AE101" s="270">
        <v>0</v>
      </c>
      <c r="AF101" s="270">
        <v>0</v>
      </c>
      <c r="AG101" s="270">
        <v>0</v>
      </c>
      <c r="AH101" s="270">
        <v>0</v>
      </c>
      <c r="AI101" s="270">
        <v>0</v>
      </c>
      <c r="AJ101" s="270">
        <v>0</v>
      </c>
      <c r="AK101" s="270">
        <v>0</v>
      </c>
      <c r="AL101" s="270">
        <v>2107</v>
      </c>
      <c r="AM101" s="270">
        <v>0</v>
      </c>
      <c r="AN101" s="270">
        <v>0</v>
      </c>
      <c r="AO101" s="270">
        <v>0</v>
      </c>
      <c r="AP101" s="270">
        <v>0</v>
      </c>
      <c r="AQ101" s="270">
        <v>0</v>
      </c>
      <c r="AR101" s="270">
        <v>0</v>
      </c>
      <c r="AS101" s="270">
        <v>0</v>
      </c>
      <c r="AT101" s="270">
        <v>0</v>
      </c>
      <c r="AU101" s="270">
        <v>0</v>
      </c>
      <c r="AV101" s="270">
        <v>0</v>
      </c>
      <c r="AW101" s="270">
        <v>0</v>
      </c>
      <c r="AX101" s="270">
        <v>0</v>
      </c>
      <c r="AY101" s="270">
        <v>0</v>
      </c>
      <c r="AZ101" s="270">
        <v>0</v>
      </c>
      <c r="BA101" s="270">
        <v>0</v>
      </c>
      <c r="BB101" s="270">
        <v>0</v>
      </c>
      <c r="BC101" s="270">
        <v>0</v>
      </c>
      <c r="BD101" s="270">
        <v>0</v>
      </c>
      <c r="BE101" s="270">
        <v>0</v>
      </c>
      <c r="BF101" s="270">
        <v>0</v>
      </c>
      <c r="BG101" s="270">
        <v>0</v>
      </c>
      <c r="BH101" s="270">
        <v>2422</v>
      </c>
      <c r="BI101" s="270">
        <v>0</v>
      </c>
      <c r="BJ101" s="270">
        <v>0</v>
      </c>
      <c r="BK101" s="270">
        <v>150244</v>
      </c>
      <c r="BL101" s="270">
        <v>0</v>
      </c>
      <c r="BM101" s="270">
        <v>0</v>
      </c>
      <c r="BN101" s="270">
        <v>0</v>
      </c>
      <c r="BO101" s="270">
        <v>0</v>
      </c>
      <c r="BP101" s="270">
        <v>0</v>
      </c>
      <c r="BQ101" s="270">
        <v>0</v>
      </c>
      <c r="BR101" s="270">
        <v>0</v>
      </c>
      <c r="BS101" s="1112">
        <v>0</v>
      </c>
      <c r="BT101" s="298">
        <v>0</v>
      </c>
      <c r="BU101" s="298">
        <v>0</v>
      </c>
      <c r="BV101" s="298">
        <v>0</v>
      </c>
      <c r="BW101" s="298">
        <v>0</v>
      </c>
      <c r="BX101" s="298">
        <v>0</v>
      </c>
      <c r="BY101" s="298">
        <v>0</v>
      </c>
      <c r="BZ101" s="298">
        <v>0</v>
      </c>
      <c r="CA101" s="298">
        <v>0</v>
      </c>
      <c r="CB101" s="298">
        <v>341474</v>
      </c>
      <c r="CC101" s="298">
        <v>0</v>
      </c>
      <c r="CD101" s="298">
        <v>0</v>
      </c>
      <c r="CE101" s="298">
        <v>0</v>
      </c>
      <c r="CF101" s="298">
        <v>0</v>
      </c>
      <c r="CG101" s="298">
        <v>0</v>
      </c>
      <c r="CH101" s="298">
        <v>13553</v>
      </c>
      <c r="CI101" s="298">
        <v>0</v>
      </c>
      <c r="CJ101" s="298">
        <v>0</v>
      </c>
      <c r="CK101" s="298">
        <v>0</v>
      </c>
      <c r="CL101" s="298">
        <v>0</v>
      </c>
      <c r="CM101" s="298">
        <v>0</v>
      </c>
      <c r="CN101" s="298">
        <v>0</v>
      </c>
      <c r="CO101" s="298">
        <v>0</v>
      </c>
      <c r="CP101" s="298">
        <v>0</v>
      </c>
      <c r="CQ101" s="298">
        <v>0</v>
      </c>
    </row>
    <row r="102" spans="1:95" x14ac:dyDescent="0.3">
      <c r="A102" s="270">
        <v>336</v>
      </c>
      <c r="B102" s="270">
        <v>336</v>
      </c>
      <c r="C102" s="270" t="s">
        <v>636</v>
      </c>
      <c r="D102" s="270" t="s">
        <v>418</v>
      </c>
      <c r="E102" s="1112">
        <v>3585</v>
      </c>
      <c r="F102" s="1112">
        <v>641625</v>
      </c>
      <c r="G102" s="1112">
        <v>19811</v>
      </c>
      <c r="H102" s="1112">
        <v>745367</v>
      </c>
      <c r="I102" s="1112">
        <v>15947</v>
      </c>
      <c r="J102" s="1112">
        <v>16936</v>
      </c>
      <c r="K102" s="1112">
        <v>3447568</v>
      </c>
      <c r="L102" s="1112">
        <v>36125</v>
      </c>
      <c r="M102" s="1112">
        <v>9226</v>
      </c>
      <c r="N102" s="270">
        <v>53329</v>
      </c>
      <c r="O102" s="1112">
        <v>90368</v>
      </c>
      <c r="P102" s="1112">
        <v>706</v>
      </c>
      <c r="Q102" s="1112">
        <v>1092</v>
      </c>
      <c r="R102" s="1112">
        <v>270616</v>
      </c>
      <c r="S102" s="270">
        <v>173060</v>
      </c>
      <c r="T102" s="1112">
        <v>393814</v>
      </c>
      <c r="U102" s="1112">
        <v>1842034</v>
      </c>
      <c r="V102" s="1112">
        <v>876193</v>
      </c>
      <c r="W102" s="1112">
        <v>12077</v>
      </c>
      <c r="X102" s="1112">
        <v>286425</v>
      </c>
      <c r="Y102" s="1112">
        <v>63946</v>
      </c>
      <c r="Z102" s="1112">
        <v>309</v>
      </c>
      <c r="AA102" s="1112">
        <v>314765</v>
      </c>
      <c r="AB102" s="1112">
        <v>94253</v>
      </c>
      <c r="AC102" s="1112">
        <v>24387</v>
      </c>
      <c r="AD102" s="1112">
        <v>11853</v>
      </c>
      <c r="AE102" s="1112">
        <v>3745149</v>
      </c>
      <c r="AF102" s="1112">
        <v>55406</v>
      </c>
      <c r="AG102" s="270">
        <v>333450</v>
      </c>
      <c r="AH102" s="1112">
        <v>12526</v>
      </c>
      <c r="AI102" s="1112">
        <v>4047</v>
      </c>
      <c r="AJ102" s="1112">
        <v>65643</v>
      </c>
      <c r="AK102" s="1112">
        <v>362925</v>
      </c>
      <c r="AL102" s="270">
        <v>373795</v>
      </c>
      <c r="AM102" s="270">
        <v>0</v>
      </c>
      <c r="AN102" s="1112">
        <v>2721</v>
      </c>
      <c r="AO102" s="1112">
        <v>16669</v>
      </c>
      <c r="AP102" s="1112">
        <v>359288</v>
      </c>
      <c r="AQ102" s="1112">
        <v>26271</v>
      </c>
      <c r="AR102" s="1112">
        <v>7163</v>
      </c>
      <c r="AS102" s="1112">
        <v>73085</v>
      </c>
      <c r="AT102" s="1112">
        <v>41767</v>
      </c>
      <c r="AU102" s="1112">
        <v>2401</v>
      </c>
      <c r="AV102" s="270">
        <v>15613</v>
      </c>
      <c r="AW102" s="1112">
        <v>240006</v>
      </c>
      <c r="AX102" s="1112">
        <v>8719</v>
      </c>
      <c r="AY102" s="1112">
        <v>11816895</v>
      </c>
      <c r="AZ102" s="270">
        <v>138467</v>
      </c>
      <c r="BA102" s="1112">
        <v>1330962</v>
      </c>
      <c r="BB102" s="1112">
        <v>937</v>
      </c>
      <c r="BC102" s="1112">
        <v>86333</v>
      </c>
      <c r="BD102" s="1112">
        <v>25518</v>
      </c>
      <c r="BE102" s="1112">
        <v>21393</v>
      </c>
      <c r="BF102" s="1112">
        <v>43977</v>
      </c>
      <c r="BG102" s="1112">
        <v>57824</v>
      </c>
      <c r="BH102" s="1112">
        <v>826140</v>
      </c>
      <c r="BI102" s="1112">
        <v>5592</v>
      </c>
      <c r="BJ102" s="1112">
        <v>0</v>
      </c>
      <c r="BK102" s="1112">
        <v>1043264</v>
      </c>
      <c r="BL102" s="1112">
        <v>1194168</v>
      </c>
      <c r="BM102" s="1112">
        <v>861891</v>
      </c>
      <c r="BN102" s="1112">
        <v>3657</v>
      </c>
      <c r="BO102" s="1112">
        <v>18545</v>
      </c>
      <c r="BP102" s="1112">
        <v>37755</v>
      </c>
      <c r="BQ102" s="1112">
        <v>1059003</v>
      </c>
      <c r="BR102" s="1112">
        <v>35306</v>
      </c>
      <c r="BS102" s="1112">
        <v>2672</v>
      </c>
      <c r="BT102" s="298">
        <v>167610</v>
      </c>
      <c r="BU102" s="298">
        <v>355848</v>
      </c>
      <c r="BV102" s="298">
        <v>38391</v>
      </c>
      <c r="BW102" s="298">
        <v>290205</v>
      </c>
      <c r="BX102" s="298">
        <v>803316</v>
      </c>
      <c r="BY102" s="298">
        <v>7260</v>
      </c>
      <c r="BZ102" s="298">
        <v>0</v>
      </c>
      <c r="CA102" s="298">
        <v>594546</v>
      </c>
      <c r="CB102" s="298">
        <v>32264773</v>
      </c>
      <c r="CC102" s="298">
        <v>6936576</v>
      </c>
      <c r="CD102" s="298">
        <v>26988</v>
      </c>
      <c r="CE102" s="298">
        <v>401025</v>
      </c>
      <c r="CF102" s="298">
        <v>32803</v>
      </c>
      <c r="CG102" s="298">
        <v>164360</v>
      </c>
      <c r="CH102" s="298">
        <v>56861260</v>
      </c>
      <c r="CI102" s="298">
        <v>1050409</v>
      </c>
      <c r="CJ102" s="298">
        <v>114180</v>
      </c>
      <c r="CK102" s="298">
        <v>421478</v>
      </c>
      <c r="CL102" s="298">
        <v>50183</v>
      </c>
      <c r="CM102" s="298">
        <v>879110</v>
      </c>
      <c r="CN102" s="298">
        <v>122954</v>
      </c>
      <c r="CO102" s="298">
        <v>114589</v>
      </c>
      <c r="CP102" s="298">
        <v>414852</v>
      </c>
      <c r="CQ102" s="298">
        <v>1576731</v>
      </c>
    </row>
    <row r="103" spans="1:95" x14ac:dyDescent="0.3">
      <c r="A103" s="270">
        <v>337</v>
      </c>
      <c r="B103" s="270">
        <v>337</v>
      </c>
      <c r="C103" s="270" t="s">
        <v>254</v>
      </c>
      <c r="D103" s="270" t="s">
        <v>419</v>
      </c>
      <c r="E103" s="1112">
        <v>0</v>
      </c>
      <c r="F103" s="1112">
        <v>2918000</v>
      </c>
      <c r="G103" s="270">
        <v>0</v>
      </c>
      <c r="H103" s="1112">
        <v>793020</v>
      </c>
      <c r="I103" s="270">
        <v>0</v>
      </c>
      <c r="J103" s="270">
        <v>81929</v>
      </c>
      <c r="K103" s="1112">
        <v>1594700</v>
      </c>
      <c r="L103" s="270">
        <v>68788</v>
      </c>
      <c r="M103" s="1112">
        <v>0</v>
      </c>
      <c r="N103" s="270">
        <v>0</v>
      </c>
      <c r="O103" s="270">
        <v>277492</v>
      </c>
      <c r="P103" s="1112">
        <v>0</v>
      </c>
      <c r="Q103" s="1112">
        <v>0</v>
      </c>
      <c r="R103" s="1112">
        <v>1331096</v>
      </c>
      <c r="S103" s="270">
        <v>0</v>
      </c>
      <c r="T103" s="1112">
        <v>348338</v>
      </c>
      <c r="U103" s="1112">
        <v>1677085</v>
      </c>
      <c r="V103" s="1112">
        <v>1605876</v>
      </c>
      <c r="W103" s="270">
        <v>0</v>
      </c>
      <c r="X103" s="270">
        <v>999201</v>
      </c>
      <c r="Y103" s="1112">
        <v>265395</v>
      </c>
      <c r="Z103" s="270">
        <v>0</v>
      </c>
      <c r="AA103" s="1112">
        <v>0</v>
      </c>
      <c r="AB103" s="1112">
        <v>29206</v>
      </c>
      <c r="AC103" s="1112">
        <v>0</v>
      </c>
      <c r="AD103" s="1112">
        <v>0</v>
      </c>
      <c r="AE103" s="270">
        <v>15822250</v>
      </c>
      <c r="AF103" s="1112">
        <v>90000</v>
      </c>
      <c r="AG103" s="270">
        <v>349062</v>
      </c>
      <c r="AH103" s="1112">
        <v>0</v>
      </c>
      <c r="AI103" s="1112">
        <v>0</v>
      </c>
      <c r="AJ103" s="1112">
        <v>0</v>
      </c>
      <c r="AK103" s="1112">
        <v>1504110</v>
      </c>
      <c r="AL103" s="270">
        <v>887937</v>
      </c>
      <c r="AM103" s="270">
        <v>0</v>
      </c>
      <c r="AN103" s="1112">
        <v>0</v>
      </c>
      <c r="AO103" s="270">
        <v>0</v>
      </c>
      <c r="AP103" s="1112">
        <v>3269576</v>
      </c>
      <c r="AQ103" s="270">
        <v>0</v>
      </c>
      <c r="AR103" s="1112">
        <v>66615</v>
      </c>
      <c r="AS103" s="1112">
        <v>0</v>
      </c>
      <c r="AT103" s="1112">
        <v>441396</v>
      </c>
      <c r="AU103" s="1112">
        <v>0</v>
      </c>
      <c r="AV103" s="270">
        <v>63650</v>
      </c>
      <c r="AW103" s="1112">
        <v>1255107</v>
      </c>
      <c r="AX103" s="1112">
        <v>442773</v>
      </c>
      <c r="AY103" s="1112">
        <v>43778219</v>
      </c>
      <c r="AZ103" s="270">
        <v>0</v>
      </c>
      <c r="BA103" s="270">
        <v>709429</v>
      </c>
      <c r="BB103" s="1112">
        <v>0</v>
      </c>
      <c r="BC103" s="1112">
        <v>117396</v>
      </c>
      <c r="BD103" s="270">
        <v>0</v>
      </c>
      <c r="BE103" s="270">
        <v>0</v>
      </c>
      <c r="BF103" s="1112">
        <v>120266</v>
      </c>
      <c r="BG103" s="270">
        <v>95074</v>
      </c>
      <c r="BH103" s="1112">
        <v>1323902</v>
      </c>
      <c r="BI103" s="1112">
        <v>0</v>
      </c>
      <c r="BJ103" s="1112">
        <v>0</v>
      </c>
      <c r="BK103" s="1112">
        <v>4409398</v>
      </c>
      <c r="BL103" s="270">
        <v>5208555</v>
      </c>
      <c r="BM103" s="270">
        <v>769836</v>
      </c>
      <c r="BN103" s="270">
        <v>0</v>
      </c>
      <c r="BO103" s="270">
        <v>0</v>
      </c>
      <c r="BP103" s="1112">
        <v>0</v>
      </c>
      <c r="BQ103" s="1112">
        <v>2492835</v>
      </c>
      <c r="BR103" s="270">
        <v>0</v>
      </c>
      <c r="BS103" s="1112">
        <v>0</v>
      </c>
      <c r="BT103" s="298">
        <v>252541</v>
      </c>
      <c r="BU103" s="298">
        <v>2640871</v>
      </c>
      <c r="BV103" s="298">
        <v>0</v>
      </c>
      <c r="BW103" s="298">
        <v>191187</v>
      </c>
      <c r="BX103" s="298">
        <v>2672815</v>
      </c>
      <c r="BY103" s="298">
        <v>0</v>
      </c>
      <c r="BZ103" s="298">
        <v>0</v>
      </c>
      <c r="CA103" s="298">
        <v>1010734</v>
      </c>
      <c r="CB103" s="298">
        <v>179890952</v>
      </c>
      <c r="CC103" s="298">
        <v>962917</v>
      </c>
      <c r="CD103" s="298">
        <v>134460</v>
      </c>
      <c r="CE103" s="298">
        <v>0</v>
      </c>
      <c r="CF103" s="298">
        <v>289176</v>
      </c>
      <c r="CG103" s="298">
        <v>2208130</v>
      </c>
      <c r="CH103" s="298">
        <v>335840067</v>
      </c>
      <c r="CI103" s="298">
        <v>3577715</v>
      </c>
      <c r="CJ103" s="298">
        <v>427802</v>
      </c>
      <c r="CK103" s="298">
        <v>602666</v>
      </c>
      <c r="CL103" s="298">
        <v>157303</v>
      </c>
      <c r="CM103" s="298">
        <v>2142855</v>
      </c>
      <c r="CN103" s="298">
        <v>233332</v>
      </c>
      <c r="CO103" s="298">
        <v>661440</v>
      </c>
      <c r="CP103" s="298">
        <v>675371</v>
      </c>
      <c r="CQ103" s="298">
        <v>3948466</v>
      </c>
    </row>
    <row r="104" spans="1:95" x14ac:dyDescent="0.3">
      <c r="A104" s="270">
        <v>338</v>
      </c>
      <c r="B104" s="270">
        <v>338</v>
      </c>
      <c r="C104" s="270" t="s">
        <v>116</v>
      </c>
      <c r="D104" s="270" t="s">
        <v>420</v>
      </c>
      <c r="E104" s="1112">
        <v>3585</v>
      </c>
      <c r="F104" s="1112">
        <v>5042018</v>
      </c>
      <c r="G104" s="1112">
        <v>301066</v>
      </c>
      <c r="H104" s="1112">
        <v>2471726</v>
      </c>
      <c r="I104" s="1112">
        <v>332057</v>
      </c>
      <c r="J104" s="1112">
        <v>191410</v>
      </c>
      <c r="K104" s="1112">
        <v>16010091</v>
      </c>
      <c r="L104" s="1112">
        <v>1024313</v>
      </c>
      <c r="M104" s="1112">
        <v>9226</v>
      </c>
      <c r="N104" s="270">
        <v>78198</v>
      </c>
      <c r="O104" s="1112">
        <v>734484</v>
      </c>
      <c r="P104" s="1112">
        <v>706</v>
      </c>
      <c r="Q104" s="1112">
        <v>11029</v>
      </c>
      <c r="R104" s="1112">
        <v>1857512</v>
      </c>
      <c r="S104" s="270">
        <v>363353</v>
      </c>
      <c r="T104" s="1112">
        <v>8996763</v>
      </c>
      <c r="U104" s="1112">
        <v>4923543</v>
      </c>
      <c r="V104" s="1112">
        <v>3746710</v>
      </c>
      <c r="W104" s="1112">
        <v>12077</v>
      </c>
      <c r="X104" s="1112">
        <v>2931144</v>
      </c>
      <c r="Y104" s="1112">
        <v>791867</v>
      </c>
      <c r="Z104" s="1112">
        <v>309</v>
      </c>
      <c r="AA104" s="1112">
        <v>21611368</v>
      </c>
      <c r="AB104" s="1112">
        <v>1860185</v>
      </c>
      <c r="AC104" s="1112">
        <v>117486</v>
      </c>
      <c r="AD104" s="1112">
        <v>30088</v>
      </c>
      <c r="AE104" s="1112">
        <v>33341104</v>
      </c>
      <c r="AF104" s="1112">
        <v>154837</v>
      </c>
      <c r="AG104" s="270">
        <v>1208865</v>
      </c>
      <c r="AH104" s="1112">
        <v>518885</v>
      </c>
      <c r="AI104" s="1112">
        <v>324047</v>
      </c>
      <c r="AJ104" s="1112">
        <v>185150</v>
      </c>
      <c r="AK104" s="1112">
        <v>2961315</v>
      </c>
      <c r="AL104" s="270">
        <v>2007706</v>
      </c>
      <c r="AM104" s="1112">
        <v>0</v>
      </c>
      <c r="AN104" s="1112">
        <v>9159</v>
      </c>
      <c r="AO104" s="1112">
        <v>34554</v>
      </c>
      <c r="AP104" s="1112">
        <v>5418908</v>
      </c>
      <c r="AQ104" s="1112">
        <v>132216</v>
      </c>
      <c r="AR104" s="1112">
        <v>70530</v>
      </c>
      <c r="AS104" s="1112">
        <v>73085</v>
      </c>
      <c r="AT104" s="1112">
        <v>598113</v>
      </c>
      <c r="AU104" s="1112">
        <v>14706</v>
      </c>
      <c r="AV104" s="270">
        <v>295028</v>
      </c>
      <c r="AW104" s="1112">
        <v>8185782</v>
      </c>
      <c r="AX104" s="1112">
        <v>525794</v>
      </c>
      <c r="AY104" s="1112">
        <v>78639802</v>
      </c>
      <c r="AZ104" s="270">
        <v>186289</v>
      </c>
      <c r="BA104" s="1112">
        <v>2731559</v>
      </c>
      <c r="BB104" s="1112">
        <v>937</v>
      </c>
      <c r="BC104" s="1112">
        <v>222492</v>
      </c>
      <c r="BD104" s="1112">
        <v>197475</v>
      </c>
      <c r="BE104" s="1112">
        <v>26067</v>
      </c>
      <c r="BF104" s="1112">
        <v>324445</v>
      </c>
      <c r="BG104" s="1112">
        <v>885717</v>
      </c>
      <c r="BH104" s="1112">
        <v>10311173</v>
      </c>
      <c r="BI104" s="1112">
        <v>41994</v>
      </c>
      <c r="BJ104" s="1112">
        <v>0</v>
      </c>
      <c r="BK104" s="1112">
        <v>7445009</v>
      </c>
      <c r="BL104" s="1112">
        <v>15166698</v>
      </c>
      <c r="BM104" s="1112">
        <v>4402259</v>
      </c>
      <c r="BN104" s="1112">
        <v>3657</v>
      </c>
      <c r="BO104" s="1112">
        <v>152095</v>
      </c>
      <c r="BP104" s="1112">
        <v>893587</v>
      </c>
      <c r="BQ104" s="1112">
        <v>11524459</v>
      </c>
      <c r="BR104" s="1112">
        <v>39595</v>
      </c>
      <c r="BS104" s="1112">
        <v>56397</v>
      </c>
      <c r="BT104" s="298">
        <v>711953</v>
      </c>
      <c r="BU104" s="298">
        <v>3453004</v>
      </c>
      <c r="BV104" s="298">
        <v>105118</v>
      </c>
      <c r="BW104" s="298">
        <v>885751</v>
      </c>
      <c r="BX104" s="298">
        <v>6465785</v>
      </c>
      <c r="BY104" s="298">
        <v>7260</v>
      </c>
      <c r="BZ104" s="298">
        <v>0</v>
      </c>
      <c r="CA104" s="298">
        <v>7206428</v>
      </c>
      <c r="CB104" s="298">
        <v>290099727</v>
      </c>
      <c r="CC104" s="298">
        <v>71923421</v>
      </c>
      <c r="CD104" s="298">
        <v>393239</v>
      </c>
      <c r="CE104" s="298">
        <v>2658170</v>
      </c>
      <c r="CF104" s="298">
        <v>306817</v>
      </c>
      <c r="CG104" s="298">
        <v>2790513</v>
      </c>
      <c r="CH104" s="298">
        <v>483568019</v>
      </c>
      <c r="CI104" s="298">
        <v>8051528</v>
      </c>
      <c r="CJ104" s="298">
        <v>549994</v>
      </c>
      <c r="CK104" s="298">
        <v>4299426</v>
      </c>
      <c r="CL104" s="298">
        <v>215448</v>
      </c>
      <c r="CM104" s="298">
        <v>10499730</v>
      </c>
      <c r="CN104" s="298">
        <v>1383537</v>
      </c>
      <c r="CO104" s="298">
        <v>726843</v>
      </c>
      <c r="CP104" s="298">
        <v>1369356</v>
      </c>
      <c r="CQ104" s="298">
        <v>12975660</v>
      </c>
    </row>
    <row r="105" spans="1:95" x14ac:dyDescent="0.3">
      <c r="A105" s="270">
        <v>339</v>
      </c>
      <c r="B105" s="270">
        <v>339</v>
      </c>
      <c r="C105" s="270" t="s">
        <v>190</v>
      </c>
      <c r="D105" s="270" t="s">
        <v>421</v>
      </c>
      <c r="E105" s="1112">
        <v>0</v>
      </c>
      <c r="F105" s="1112">
        <v>313917</v>
      </c>
      <c r="G105" s="1112">
        <v>10117</v>
      </c>
      <c r="H105" s="1112">
        <v>330473</v>
      </c>
      <c r="I105" s="1112">
        <v>106042</v>
      </c>
      <c r="J105" s="1112">
        <v>37283</v>
      </c>
      <c r="K105" s="1112">
        <v>3330714</v>
      </c>
      <c r="L105" s="1112">
        <v>0</v>
      </c>
      <c r="M105" s="1112">
        <v>33935</v>
      </c>
      <c r="N105" s="270">
        <v>61978</v>
      </c>
      <c r="O105" s="1112">
        <v>123402</v>
      </c>
      <c r="P105" s="1112">
        <v>0</v>
      </c>
      <c r="Q105" s="1112">
        <v>35464</v>
      </c>
      <c r="R105" s="1112">
        <v>16772</v>
      </c>
      <c r="S105" s="270">
        <v>68256</v>
      </c>
      <c r="T105" s="1112">
        <v>2504844</v>
      </c>
      <c r="U105" s="1112">
        <v>1357808</v>
      </c>
      <c r="V105" s="1112">
        <v>456595</v>
      </c>
      <c r="W105" s="1112">
        <v>200</v>
      </c>
      <c r="X105" s="1112">
        <v>45862</v>
      </c>
      <c r="Y105" s="1112">
        <v>37635</v>
      </c>
      <c r="Z105" s="270">
        <v>400</v>
      </c>
      <c r="AA105" s="1112">
        <v>346133</v>
      </c>
      <c r="AB105" s="1112">
        <v>360240</v>
      </c>
      <c r="AC105" s="1112">
        <v>33397</v>
      </c>
      <c r="AD105" s="1112">
        <v>49557</v>
      </c>
      <c r="AE105" s="1112">
        <v>1653256</v>
      </c>
      <c r="AF105" s="1112">
        <v>21470</v>
      </c>
      <c r="AG105" s="1112">
        <v>554031</v>
      </c>
      <c r="AH105" s="1112">
        <v>11381</v>
      </c>
      <c r="AI105" s="1112">
        <v>0</v>
      </c>
      <c r="AJ105" s="1112">
        <v>477330</v>
      </c>
      <c r="AK105" s="1112">
        <v>338100</v>
      </c>
      <c r="AL105" s="270">
        <v>254168</v>
      </c>
      <c r="AM105" s="270">
        <v>0</v>
      </c>
      <c r="AN105" s="1112">
        <v>23627</v>
      </c>
      <c r="AO105" s="1112">
        <v>12735</v>
      </c>
      <c r="AP105" s="1112">
        <v>717154</v>
      </c>
      <c r="AQ105" s="270">
        <v>133300</v>
      </c>
      <c r="AR105" s="1112">
        <v>21007</v>
      </c>
      <c r="AS105" s="1112">
        <v>0</v>
      </c>
      <c r="AT105" s="1112">
        <v>74784</v>
      </c>
      <c r="AU105" s="1112">
        <v>0</v>
      </c>
      <c r="AV105" s="270">
        <v>0</v>
      </c>
      <c r="AW105" s="1112">
        <v>376517</v>
      </c>
      <c r="AX105" s="1112">
        <v>50210</v>
      </c>
      <c r="AY105" s="1112">
        <v>5311088</v>
      </c>
      <c r="AZ105" s="270">
        <v>0</v>
      </c>
      <c r="BA105" s="270">
        <v>1766063</v>
      </c>
      <c r="BB105" s="1112">
        <v>0</v>
      </c>
      <c r="BC105" s="1112">
        <v>92878</v>
      </c>
      <c r="BD105" s="270">
        <v>14231</v>
      </c>
      <c r="BE105" s="1112">
        <v>32090</v>
      </c>
      <c r="BF105" s="1112">
        <v>158110</v>
      </c>
      <c r="BG105" s="1112">
        <v>662085</v>
      </c>
      <c r="BH105" s="1112">
        <v>1458789</v>
      </c>
      <c r="BI105" s="1112">
        <v>405</v>
      </c>
      <c r="BJ105" s="1112">
        <v>1000</v>
      </c>
      <c r="BK105" s="1112">
        <v>1768673</v>
      </c>
      <c r="BL105" s="1112">
        <v>2427462</v>
      </c>
      <c r="BM105" s="1112">
        <v>19300</v>
      </c>
      <c r="BN105" s="1112">
        <v>8750</v>
      </c>
      <c r="BO105" s="1112">
        <v>60283</v>
      </c>
      <c r="BP105" s="1112">
        <v>188387</v>
      </c>
      <c r="BQ105" s="1112">
        <v>1210206</v>
      </c>
      <c r="BR105" s="1112">
        <v>0</v>
      </c>
      <c r="BS105" s="1112">
        <v>29175</v>
      </c>
      <c r="BT105" s="298">
        <v>21771</v>
      </c>
      <c r="BU105" s="298">
        <v>46458</v>
      </c>
      <c r="BV105" s="298">
        <v>86961</v>
      </c>
      <c r="BW105" s="298">
        <v>566299</v>
      </c>
      <c r="BX105" s="298">
        <v>85821</v>
      </c>
      <c r="BY105" s="298">
        <v>0</v>
      </c>
      <c r="BZ105" s="298">
        <v>0</v>
      </c>
      <c r="CA105" s="298">
        <v>616933</v>
      </c>
      <c r="CB105" s="298">
        <v>9579591</v>
      </c>
      <c r="CC105" s="298">
        <v>7588542</v>
      </c>
      <c r="CD105" s="298">
        <v>29528</v>
      </c>
      <c r="CE105" s="298">
        <v>505862</v>
      </c>
      <c r="CF105" s="298">
        <v>40590</v>
      </c>
      <c r="CG105" s="298">
        <v>424069</v>
      </c>
      <c r="CH105" s="298">
        <v>36910102</v>
      </c>
      <c r="CI105" s="298">
        <v>996609</v>
      </c>
      <c r="CJ105" s="298">
        <v>65712</v>
      </c>
      <c r="CK105" s="298">
        <v>151215</v>
      </c>
      <c r="CL105" s="298">
        <v>18846</v>
      </c>
      <c r="CM105" s="298">
        <v>5449388</v>
      </c>
      <c r="CN105" s="298">
        <v>11433</v>
      </c>
      <c r="CO105" s="298">
        <v>78898</v>
      </c>
      <c r="CP105" s="298">
        <v>450517</v>
      </c>
      <c r="CQ105" s="298">
        <v>988756</v>
      </c>
    </row>
    <row r="106" spans="1:95" x14ac:dyDescent="0.3">
      <c r="A106" s="270"/>
      <c r="B106" s="270">
        <v>340</v>
      </c>
      <c r="C106" s="270" t="s">
        <v>637</v>
      </c>
      <c r="D106" s="270" t="s">
        <v>422</v>
      </c>
      <c r="E106" s="270"/>
      <c r="F106" s="270"/>
      <c r="G106" s="270"/>
      <c r="H106" s="270"/>
      <c r="I106" s="270"/>
      <c r="J106" s="27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0"/>
      <c r="AK106" s="270"/>
      <c r="AL106" s="270"/>
      <c r="AM106" s="270"/>
      <c r="AN106" s="270"/>
      <c r="AO106" s="270"/>
      <c r="AP106" s="270"/>
      <c r="AQ106" s="270"/>
      <c r="AR106" s="270"/>
      <c r="AS106" s="270"/>
      <c r="AT106" s="270"/>
      <c r="AU106" s="270"/>
      <c r="AV106" s="270"/>
      <c r="AW106" s="270"/>
      <c r="AX106" s="270"/>
      <c r="AY106" s="270"/>
      <c r="AZ106" s="270"/>
      <c r="BA106" s="270"/>
      <c r="BB106" s="270"/>
      <c r="BC106" s="270"/>
      <c r="BD106" s="270"/>
      <c r="BE106" s="270"/>
      <c r="BF106" s="270"/>
      <c r="BG106" s="270"/>
      <c r="BH106" s="270"/>
      <c r="BI106" s="270"/>
      <c r="BJ106" s="270"/>
      <c r="BK106" s="270"/>
      <c r="BL106" s="270"/>
      <c r="BM106" s="270"/>
      <c r="BN106" s="270"/>
      <c r="BO106" s="270"/>
      <c r="BP106" s="270"/>
      <c r="BQ106" s="270"/>
      <c r="BR106" s="270"/>
      <c r="BS106" s="270"/>
    </row>
    <row r="107" spans="1:95" x14ac:dyDescent="0.3">
      <c r="A107" s="270">
        <v>341</v>
      </c>
      <c r="B107" s="270">
        <v>341</v>
      </c>
      <c r="C107" s="270" t="s">
        <v>193</v>
      </c>
      <c r="D107" s="270" t="s">
        <v>423</v>
      </c>
      <c r="E107" s="1112">
        <v>128334</v>
      </c>
      <c r="F107" s="1112">
        <v>6354260</v>
      </c>
      <c r="G107" s="1112">
        <v>927064</v>
      </c>
      <c r="H107" s="1112">
        <v>2456153</v>
      </c>
      <c r="I107" s="1112">
        <v>365898</v>
      </c>
      <c r="J107" s="1112">
        <v>644271</v>
      </c>
      <c r="K107" s="1112">
        <v>26301481</v>
      </c>
      <c r="L107" s="1112">
        <v>638038</v>
      </c>
      <c r="M107" s="1112">
        <v>504425</v>
      </c>
      <c r="N107" s="1112">
        <v>393125</v>
      </c>
      <c r="O107" s="1112">
        <v>952361</v>
      </c>
      <c r="P107" s="1112">
        <v>55113</v>
      </c>
      <c r="Q107" s="1112">
        <v>203627</v>
      </c>
      <c r="R107" s="1112">
        <v>1684016</v>
      </c>
      <c r="S107" s="270">
        <v>1284112</v>
      </c>
      <c r="T107" s="1112">
        <v>5461642</v>
      </c>
      <c r="U107" s="1112">
        <v>11214591</v>
      </c>
      <c r="V107" s="1112">
        <v>4168223</v>
      </c>
      <c r="W107" s="1112">
        <v>529440</v>
      </c>
      <c r="X107" s="1112">
        <v>3463637</v>
      </c>
      <c r="Y107" s="1112">
        <v>2546232</v>
      </c>
      <c r="Z107" s="1112">
        <v>79942</v>
      </c>
      <c r="AA107" s="1112">
        <v>7677052</v>
      </c>
      <c r="AB107" s="1112">
        <v>1674598</v>
      </c>
      <c r="AC107" s="1112">
        <v>785865</v>
      </c>
      <c r="AD107" s="1112">
        <v>252124</v>
      </c>
      <c r="AE107" s="1112">
        <v>22356422</v>
      </c>
      <c r="AF107" s="1112">
        <v>591443</v>
      </c>
      <c r="AG107" s="1112">
        <v>3927683</v>
      </c>
      <c r="AH107" s="1112">
        <v>1706106</v>
      </c>
      <c r="AI107" s="1112">
        <v>117085</v>
      </c>
      <c r="AJ107" s="1112">
        <v>2552333</v>
      </c>
      <c r="AK107" s="1112">
        <v>3452490</v>
      </c>
      <c r="AL107" s="270">
        <v>2619685</v>
      </c>
      <c r="AM107" s="1112">
        <v>0</v>
      </c>
      <c r="AN107" s="1112">
        <v>150910</v>
      </c>
      <c r="AO107" s="1112">
        <v>468015</v>
      </c>
      <c r="AP107" s="1112">
        <v>4193345</v>
      </c>
      <c r="AQ107" s="1112">
        <v>525431</v>
      </c>
      <c r="AR107" s="1112">
        <v>104190</v>
      </c>
      <c r="AS107" s="1112">
        <v>250477</v>
      </c>
      <c r="AT107" s="1112">
        <v>696163</v>
      </c>
      <c r="AU107" s="1112">
        <v>62796</v>
      </c>
      <c r="AV107" s="270">
        <v>269045</v>
      </c>
      <c r="AW107" s="1112">
        <v>4031338</v>
      </c>
      <c r="AX107" s="1112">
        <v>348975</v>
      </c>
      <c r="AY107" s="1112">
        <v>41344468</v>
      </c>
      <c r="AZ107" s="1112">
        <v>1717462</v>
      </c>
      <c r="BA107" s="1112">
        <v>2946959</v>
      </c>
      <c r="BB107" s="1112">
        <v>1009860</v>
      </c>
      <c r="BC107" s="1112">
        <v>839306</v>
      </c>
      <c r="BD107" s="1112">
        <v>1270633</v>
      </c>
      <c r="BE107" s="1112">
        <v>205751</v>
      </c>
      <c r="BF107" s="1112">
        <v>907986</v>
      </c>
      <c r="BG107" s="1112">
        <v>2273011</v>
      </c>
      <c r="BH107" s="1112">
        <v>10254329</v>
      </c>
      <c r="BI107" s="1112">
        <v>311270</v>
      </c>
      <c r="BJ107" s="1112">
        <v>86111</v>
      </c>
      <c r="BK107" s="1112">
        <v>11491724</v>
      </c>
      <c r="BL107" s="1112">
        <v>10581095</v>
      </c>
      <c r="BM107" s="1112">
        <v>7491454</v>
      </c>
      <c r="BN107" s="1112">
        <v>72952</v>
      </c>
      <c r="BO107" s="1112">
        <v>2127849</v>
      </c>
      <c r="BP107" s="1112">
        <v>1523148</v>
      </c>
      <c r="BQ107" s="1112">
        <v>5634473</v>
      </c>
      <c r="BR107" s="1112">
        <v>847092</v>
      </c>
      <c r="BS107" s="1112">
        <v>609711</v>
      </c>
      <c r="BT107" s="298">
        <v>2129149</v>
      </c>
      <c r="BU107" s="298">
        <v>3413217</v>
      </c>
      <c r="BV107" s="298">
        <v>449922</v>
      </c>
      <c r="BW107" s="298">
        <v>1274271</v>
      </c>
      <c r="BX107" s="298">
        <v>5036747</v>
      </c>
      <c r="BY107" s="298">
        <v>178182</v>
      </c>
      <c r="BZ107" s="298">
        <v>0</v>
      </c>
      <c r="CA107" s="298">
        <v>4783847</v>
      </c>
      <c r="CB107" s="298">
        <v>128424196</v>
      </c>
      <c r="CC107" s="298">
        <v>42463331</v>
      </c>
      <c r="CD107" s="298">
        <v>1091049</v>
      </c>
      <c r="CE107" s="298">
        <v>1356803</v>
      </c>
      <c r="CF107" s="298">
        <v>401855</v>
      </c>
      <c r="CG107" s="298">
        <v>978084</v>
      </c>
      <c r="CH107" s="298">
        <v>197622896</v>
      </c>
      <c r="CI107" s="298">
        <v>6972704</v>
      </c>
      <c r="CJ107" s="298">
        <v>378863</v>
      </c>
      <c r="CK107" s="298">
        <v>3851188</v>
      </c>
      <c r="CL107" s="298">
        <v>535769</v>
      </c>
      <c r="CM107" s="298">
        <v>7233042</v>
      </c>
      <c r="CN107" s="298">
        <v>2804477</v>
      </c>
      <c r="CO107" s="298">
        <v>662426</v>
      </c>
      <c r="CP107" s="298">
        <v>1958028</v>
      </c>
      <c r="CQ107" s="298">
        <v>8988719</v>
      </c>
    </row>
    <row r="108" spans="1:95" x14ac:dyDescent="0.3">
      <c r="A108" s="270"/>
      <c r="B108" s="270">
        <v>342</v>
      </c>
      <c r="C108" s="270" t="s">
        <v>638</v>
      </c>
      <c r="D108" s="270" t="s">
        <v>424</v>
      </c>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c r="AA108" s="270"/>
      <c r="AB108" s="270"/>
      <c r="AC108" s="270"/>
      <c r="AD108" s="270"/>
      <c r="AE108" s="270"/>
      <c r="AF108" s="270"/>
      <c r="AG108" s="270"/>
      <c r="AH108" s="270"/>
      <c r="AI108" s="270"/>
      <c r="AJ108" s="270"/>
      <c r="AK108" s="270"/>
      <c r="AL108" s="270"/>
      <c r="AM108" s="270"/>
      <c r="AN108" s="270"/>
      <c r="AO108" s="270"/>
      <c r="AP108" s="270"/>
      <c r="AQ108" s="270"/>
      <c r="AR108" s="270"/>
      <c r="AS108" s="270"/>
      <c r="AT108" s="270"/>
      <c r="AU108" s="270"/>
      <c r="AV108" s="270"/>
      <c r="AW108" s="270"/>
      <c r="AX108" s="270"/>
      <c r="AY108" s="270"/>
      <c r="AZ108" s="270"/>
      <c r="BA108" s="270"/>
      <c r="BB108" s="270"/>
      <c r="BC108" s="270"/>
      <c r="BD108" s="270"/>
      <c r="BE108" s="270"/>
      <c r="BF108" s="270"/>
      <c r="BG108" s="270"/>
      <c r="BH108" s="270"/>
      <c r="BI108" s="270"/>
      <c r="BJ108" s="270"/>
      <c r="BK108" s="270"/>
      <c r="BL108" s="270"/>
      <c r="BM108" s="270"/>
      <c r="BN108" s="270"/>
      <c r="BO108" s="270"/>
      <c r="BP108" s="270"/>
      <c r="BQ108" s="270"/>
      <c r="BR108" s="270"/>
      <c r="BS108" s="270"/>
    </row>
    <row r="109" spans="1:95" x14ac:dyDescent="0.3">
      <c r="A109" s="270">
        <v>343</v>
      </c>
      <c r="B109" s="270">
        <v>343</v>
      </c>
      <c r="C109" s="270" t="s">
        <v>255</v>
      </c>
      <c r="D109" s="270" t="s">
        <v>425</v>
      </c>
      <c r="E109" s="1112">
        <v>0</v>
      </c>
      <c r="F109" s="1112">
        <v>0</v>
      </c>
      <c r="G109" s="270">
        <v>0</v>
      </c>
      <c r="H109" s="1112">
        <v>180180</v>
      </c>
      <c r="I109" s="270">
        <v>0</v>
      </c>
      <c r="J109" s="1112">
        <v>5376</v>
      </c>
      <c r="K109" s="1112">
        <v>894700</v>
      </c>
      <c r="L109" s="270">
        <v>31455</v>
      </c>
      <c r="M109" s="1112">
        <v>0</v>
      </c>
      <c r="N109" s="270">
        <v>0</v>
      </c>
      <c r="O109" s="1112">
        <v>49124</v>
      </c>
      <c r="P109" s="1112">
        <v>0</v>
      </c>
      <c r="Q109" s="1112">
        <v>0</v>
      </c>
      <c r="R109" s="1112">
        <v>257530</v>
      </c>
      <c r="S109" s="270">
        <v>0</v>
      </c>
      <c r="T109" s="1112">
        <v>40880</v>
      </c>
      <c r="U109" s="1112">
        <v>613490</v>
      </c>
      <c r="V109" s="1112">
        <v>217531</v>
      </c>
      <c r="W109" s="270">
        <v>0</v>
      </c>
      <c r="X109" s="270">
        <v>242439</v>
      </c>
      <c r="Y109" s="1112">
        <v>47942</v>
      </c>
      <c r="Z109" s="270">
        <v>0</v>
      </c>
      <c r="AA109" s="1112">
        <v>0</v>
      </c>
      <c r="AB109" s="1112">
        <v>63420</v>
      </c>
      <c r="AC109" s="1112">
        <v>0</v>
      </c>
      <c r="AD109" s="1112">
        <v>0</v>
      </c>
      <c r="AE109" s="270">
        <v>1082466</v>
      </c>
      <c r="AF109" s="1112">
        <v>30000</v>
      </c>
      <c r="AG109" s="270">
        <v>163220</v>
      </c>
      <c r="AH109" s="1112">
        <v>0</v>
      </c>
      <c r="AI109" s="1112">
        <v>0</v>
      </c>
      <c r="AJ109" s="1112">
        <v>0</v>
      </c>
      <c r="AK109" s="1112">
        <v>346281</v>
      </c>
      <c r="AL109" s="270">
        <v>72151</v>
      </c>
      <c r="AM109" s="270">
        <v>0</v>
      </c>
      <c r="AN109" s="1112">
        <v>0</v>
      </c>
      <c r="AO109" s="270">
        <v>0</v>
      </c>
      <c r="AP109" s="1112">
        <v>341576</v>
      </c>
      <c r="AQ109" s="270">
        <v>0</v>
      </c>
      <c r="AR109" s="1112">
        <v>2867</v>
      </c>
      <c r="AS109" s="1112">
        <v>0</v>
      </c>
      <c r="AT109" s="1112">
        <v>28417</v>
      </c>
      <c r="AU109" s="1112">
        <v>0</v>
      </c>
      <c r="AV109" s="270">
        <v>9480</v>
      </c>
      <c r="AW109" s="1112">
        <v>210975</v>
      </c>
      <c r="AX109" s="1112">
        <v>8374</v>
      </c>
      <c r="AY109" s="1112">
        <v>5506523</v>
      </c>
      <c r="AZ109" s="270">
        <v>0</v>
      </c>
      <c r="BA109" s="270">
        <v>323561</v>
      </c>
      <c r="BB109" s="1112">
        <v>0</v>
      </c>
      <c r="BC109" s="1112">
        <v>26748</v>
      </c>
      <c r="BD109" s="270">
        <v>0</v>
      </c>
      <c r="BE109" s="270">
        <v>0</v>
      </c>
      <c r="BF109" s="1112">
        <v>32535</v>
      </c>
      <c r="BG109" s="270">
        <v>68981</v>
      </c>
      <c r="BH109" s="1112">
        <v>134083</v>
      </c>
      <c r="BI109" s="1112">
        <v>0</v>
      </c>
      <c r="BJ109" s="1112">
        <v>0</v>
      </c>
      <c r="BK109" s="1112">
        <v>403006</v>
      </c>
      <c r="BL109" s="270">
        <v>873067</v>
      </c>
      <c r="BM109" s="270">
        <v>356116</v>
      </c>
      <c r="BN109" s="270">
        <v>0</v>
      </c>
      <c r="BO109" s="270">
        <v>0</v>
      </c>
      <c r="BP109" s="1112">
        <v>0</v>
      </c>
      <c r="BQ109" s="1112">
        <v>785592</v>
      </c>
      <c r="BR109" s="1112">
        <v>0</v>
      </c>
      <c r="BS109" s="1112">
        <v>0</v>
      </c>
      <c r="BT109" s="298">
        <v>78821</v>
      </c>
      <c r="BU109" s="298">
        <v>92461</v>
      </c>
      <c r="BV109" s="298">
        <v>0</v>
      </c>
      <c r="BW109" s="298">
        <v>41689</v>
      </c>
      <c r="BX109" s="298">
        <v>369258</v>
      </c>
      <c r="BY109" s="298">
        <v>0</v>
      </c>
      <c r="BZ109" s="298">
        <v>0</v>
      </c>
      <c r="CA109" s="298">
        <v>1159371</v>
      </c>
      <c r="CB109" s="298">
        <v>9683362</v>
      </c>
      <c r="CC109" s="298">
        <v>323010</v>
      </c>
      <c r="CD109" s="298">
        <v>15377</v>
      </c>
      <c r="CE109" s="298">
        <v>0</v>
      </c>
      <c r="CF109" s="298">
        <v>23797</v>
      </c>
      <c r="CG109" s="298">
        <v>45869</v>
      </c>
      <c r="CH109" s="298">
        <v>40058589</v>
      </c>
      <c r="CI109" s="298">
        <v>546527</v>
      </c>
      <c r="CJ109" s="298">
        <v>47753</v>
      </c>
      <c r="CK109" s="298">
        <v>260306</v>
      </c>
      <c r="CL109" s="298">
        <v>19198</v>
      </c>
      <c r="CM109" s="298">
        <v>428571</v>
      </c>
      <c r="CN109" s="298">
        <v>46666</v>
      </c>
      <c r="CO109" s="298">
        <v>98493</v>
      </c>
      <c r="CP109" s="298">
        <v>172559</v>
      </c>
      <c r="CQ109" s="298">
        <v>803059</v>
      </c>
    </row>
    <row r="110" spans="1:95" x14ac:dyDescent="0.3">
      <c r="A110" s="270">
        <v>344</v>
      </c>
      <c r="B110" s="270">
        <v>344</v>
      </c>
      <c r="C110" s="270" t="s">
        <v>188</v>
      </c>
      <c r="D110" s="270" t="s">
        <v>426</v>
      </c>
      <c r="E110" s="1112">
        <v>0</v>
      </c>
      <c r="F110" s="1112">
        <v>0</v>
      </c>
      <c r="G110" s="270">
        <v>0</v>
      </c>
      <c r="H110" s="1112">
        <v>21413</v>
      </c>
      <c r="I110" s="270">
        <v>0</v>
      </c>
      <c r="J110" s="270">
        <v>2995</v>
      </c>
      <c r="K110" s="1112">
        <v>76688</v>
      </c>
      <c r="L110" s="270">
        <v>1992</v>
      </c>
      <c r="M110" s="1112">
        <v>0</v>
      </c>
      <c r="N110" s="270">
        <v>0</v>
      </c>
      <c r="O110" s="1112">
        <v>9509</v>
      </c>
      <c r="P110" s="1112">
        <v>0</v>
      </c>
      <c r="Q110" s="1112">
        <v>0</v>
      </c>
      <c r="R110" s="1112">
        <v>43147</v>
      </c>
      <c r="S110" s="270">
        <v>0</v>
      </c>
      <c r="T110" s="1112">
        <v>10566</v>
      </c>
      <c r="U110" s="1112">
        <v>59725</v>
      </c>
      <c r="V110" s="1112">
        <v>42939</v>
      </c>
      <c r="W110" s="270">
        <v>0</v>
      </c>
      <c r="X110" s="270">
        <v>26186</v>
      </c>
      <c r="Y110" s="1112">
        <v>3279</v>
      </c>
      <c r="Z110" s="270">
        <v>0</v>
      </c>
      <c r="AA110" s="1112">
        <v>0</v>
      </c>
      <c r="AB110" s="1112">
        <v>3705</v>
      </c>
      <c r="AC110" s="1112">
        <v>0</v>
      </c>
      <c r="AD110" s="1112">
        <v>0</v>
      </c>
      <c r="AE110" s="270">
        <v>360359</v>
      </c>
      <c r="AF110" s="1112">
        <v>4405</v>
      </c>
      <c r="AG110" s="270">
        <v>9905</v>
      </c>
      <c r="AH110" s="1112">
        <v>0</v>
      </c>
      <c r="AI110" s="1112">
        <v>0</v>
      </c>
      <c r="AJ110" s="1112">
        <v>0</v>
      </c>
      <c r="AK110" s="1112">
        <v>42549</v>
      </c>
      <c r="AL110" s="270">
        <v>39515</v>
      </c>
      <c r="AM110" s="270">
        <v>0</v>
      </c>
      <c r="AN110" s="1112">
        <v>0</v>
      </c>
      <c r="AO110" s="270">
        <v>0</v>
      </c>
      <c r="AP110" s="1112">
        <v>106426</v>
      </c>
      <c r="AQ110" s="270">
        <v>0</v>
      </c>
      <c r="AR110" s="1112">
        <v>3197</v>
      </c>
      <c r="AS110" s="1112">
        <v>0</v>
      </c>
      <c r="AT110" s="1112">
        <v>19666</v>
      </c>
      <c r="AU110" s="270">
        <v>0</v>
      </c>
      <c r="AV110" s="270">
        <v>2856</v>
      </c>
      <c r="AW110" s="1112">
        <v>33212</v>
      </c>
      <c r="AX110" s="1112">
        <v>18639</v>
      </c>
      <c r="AY110" s="1112">
        <v>1257960</v>
      </c>
      <c r="AZ110" s="270">
        <v>0</v>
      </c>
      <c r="BA110" s="270">
        <v>29363</v>
      </c>
      <c r="BB110" s="1112">
        <v>0</v>
      </c>
      <c r="BC110" s="1112">
        <v>4382</v>
      </c>
      <c r="BD110" s="270">
        <v>0</v>
      </c>
      <c r="BE110" s="270">
        <v>0</v>
      </c>
      <c r="BF110" s="1112">
        <v>2235</v>
      </c>
      <c r="BG110" s="270">
        <v>4976</v>
      </c>
      <c r="BH110" s="1112">
        <v>36494</v>
      </c>
      <c r="BI110" s="1112">
        <v>0</v>
      </c>
      <c r="BJ110" s="270">
        <v>0</v>
      </c>
      <c r="BK110" s="1112">
        <v>121149</v>
      </c>
      <c r="BL110" s="270">
        <v>160915</v>
      </c>
      <c r="BM110" s="270">
        <v>19602</v>
      </c>
      <c r="BN110" s="270">
        <v>0</v>
      </c>
      <c r="BO110" s="270">
        <v>0</v>
      </c>
      <c r="BP110" s="1112">
        <v>0</v>
      </c>
      <c r="BQ110" s="1112">
        <v>96480</v>
      </c>
      <c r="BR110" s="1112">
        <v>0</v>
      </c>
      <c r="BS110" s="1112">
        <v>0</v>
      </c>
      <c r="BT110" s="298">
        <v>8589</v>
      </c>
      <c r="BU110" s="298">
        <v>4019</v>
      </c>
      <c r="BV110" s="298">
        <v>0</v>
      </c>
      <c r="BW110" s="298">
        <v>6216</v>
      </c>
      <c r="BX110" s="298">
        <v>90009</v>
      </c>
      <c r="BY110" s="298">
        <v>0</v>
      </c>
      <c r="BZ110" s="298">
        <v>0</v>
      </c>
      <c r="CA110" s="298">
        <v>14795</v>
      </c>
      <c r="CB110" s="298">
        <v>7366318</v>
      </c>
      <c r="CC110" s="298">
        <v>38101</v>
      </c>
      <c r="CD110" s="298">
        <v>1102</v>
      </c>
      <c r="CE110" s="298">
        <v>0</v>
      </c>
      <c r="CF110" s="298">
        <v>11369</v>
      </c>
      <c r="CG110" s="298">
        <v>52151</v>
      </c>
      <c r="CH110" s="298">
        <v>11825173</v>
      </c>
      <c r="CI110" s="298">
        <v>100278</v>
      </c>
      <c r="CJ110" s="298">
        <v>12134</v>
      </c>
      <c r="CK110" s="298">
        <v>11222</v>
      </c>
      <c r="CL110" s="298">
        <v>7011</v>
      </c>
      <c r="CM110" s="298">
        <v>53776</v>
      </c>
      <c r="CN110" s="298">
        <v>9392</v>
      </c>
      <c r="CO110" s="298">
        <v>0</v>
      </c>
      <c r="CP110" s="298">
        <v>15808</v>
      </c>
      <c r="CQ110" s="298">
        <v>134184</v>
      </c>
    </row>
    <row r="111" spans="1:95" x14ac:dyDescent="0.3">
      <c r="A111" s="270"/>
      <c r="B111" s="270">
        <v>346</v>
      </c>
      <c r="C111" s="270" t="s">
        <v>639</v>
      </c>
      <c r="D111" s="270" t="s">
        <v>427</v>
      </c>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c r="AA111" s="270"/>
      <c r="AB111" s="270"/>
      <c r="AC111" s="270"/>
      <c r="AD111" s="270"/>
      <c r="AE111" s="270"/>
      <c r="AF111" s="270"/>
      <c r="AG111" s="270"/>
      <c r="AH111" s="270"/>
      <c r="AI111" s="270"/>
      <c r="AJ111" s="270"/>
      <c r="AK111" s="270"/>
      <c r="AL111" s="270"/>
      <c r="AM111" s="270"/>
      <c r="AN111" s="270"/>
      <c r="AO111" s="270"/>
      <c r="AP111" s="270"/>
      <c r="AQ111" s="270"/>
      <c r="AR111" s="270"/>
      <c r="AS111" s="270"/>
      <c r="AT111" s="270"/>
      <c r="AU111" s="270"/>
      <c r="AV111" s="270"/>
      <c r="AW111" s="270"/>
      <c r="AX111" s="270"/>
      <c r="AY111" s="270"/>
      <c r="AZ111" s="270"/>
      <c r="BA111" s="270"/>
      <c r="BB111" s="270"/>
      <c r="BC111" s="270"/>
      <c r="BD111" s="270"/>
      <c r="BE111" s="270"/>
      <c r="BF111" s="270"/>
      <c r="BG111" s="270"/>
      <c r="BH111" s="270"/>
      <c r="BI111" s="270"/>
      <c r="BJ111" s="270"/>
      <c r="BK111" s="270"/>
      <c r="BL111" s="270"/>
      <c r="BM111" s="270"/>
      <c r="BN111" s="270"/>
      <c r="BO111" s="270"/>
      <c r="BP111" s="270"/>
      <c r="BQ111" s="270"/>
      <c r="BR111" s="270"/>
      <c r="BS111" s="270"/>
    </row>
    <row r="112" spans="1:95" x14ac:dyDescent="0.3">
      <c r="A112" s="270"/>
      <c r="B112" s="270">
        <v>347</v>
      </c>
      <c r="C112" s="270" t="s">
        <v>640</v>
      </c>
      <c r="D112" s="270" t="s">
        <v>428</v>
      </c>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70"/>
      <c r="AL112" s="270"/>
      <c r="AM112" s="270"/>
      <c r="AN112" s="270"/>
      <c r="AO112" s="270"/>
      <c r="AP112" s="270"/>
      <c r="AQ112" s="270"/>
      <c r="AR112" s="270"/>
      <c r="AS112" s="270"/>
      <c r="AT112" s="270"/>
      <c r="AU112" s="270"/>
      <c r="AV112" s="270"/>
      <c r="AW112" s="270"/>
      <c r="AX112" s="270"/>
      <c r="AY112" s="270"/>
      <c r="AZ112" s="270"/>
      <c r="BA112" s="270"/>
      <c r="BB112" s="270"/>
      <c r="BC112" s="270"/>
      <c r="BD112" s="270"/>
      <c r="BE112" s="270"/>
      <c r="BF112" s="270"/>
      <c r="BG112" s="270"/>
      <c r="BH112" s="270"/>
      <c r="BI112" s="270"/>
      <c r="BJ112" s="270"/>
      <c r="BK112" s="270"/>
      <c r="BL112" s="270"/>
      <c r="BM112" s="270"/>
      <c r="BN112" s="270"/>
      <c r="BO112" s="270"/>
      <c r="BP112" s="270"/>
      <c r="BQ112" s="270"/>
      <c r="BR112" s="270"/>
      <c r="BS112" s="270"/>
    </row>
    <row r="113" spans="1:95" x14ac:dyDescent="0.3">
      <c r="A113" s="270">
        <v>349</v>
      </c>
      <c r="B113" s="270">
        <v>349</v>
      </c>
      <c r="C113" s="270" t="s">
        <v>122</v>
      </c>
      <c r="D113" s="270" t="s">
        <v>429</v>
      </c>
      <c r="E113" s="1112">
        <v>0</v>
      </c>
      <c r="F113" s="1112">
        <v>0</v>
      </c>
      <c r="G113" s="1112">
        <v>82491</v>
      </c>
      <c r="H113" s="1112">
        <v>6155495</v>
      </c>
      <c r="I113" s="270">
        <v>2654066</v>
      </c>
      <c r="J113" s="1112">
        <v>157308</v>
      </c>
      <c r="K113" s="1112">
        <v>27734619</v>
      </c>
      <c r="L113" s="1112">
        <v>819383</v>
      </c>
      <c r="M113" s="1112">
        <v>0</v>
      </c>
      <c r="N113" s="270">
        <v>43657</v>
      </c>
      <c r="O113" s="1112">
        <v>1551498</v>
      </c>
      <c r="P113" s="270">
        <v>0</v>
      </c>
      <c r="Q113" s="1112">
        <v>615273</v>
      </c>
      <c r="R113" s="1112">
        <v>0</v>
      </c>
      <c r="S113" s="270">
        <v>0</v>
      </c>
      <c r="T113" s="1112">
        <v>0</v>
      </c>
      <c r="U113" s="1112">
        <v>16333214</v>
      </c>
      <c r="V113" s="1112">
        <v>0</v>
      </c>
      <c r="W113" s="1112">
        <v>74184</v>
      </c>
      <c r="X113" s="1112">
        <v>0</v>
      </c>
      <c r="Y113" s="1112">
        <v>1336689</v>
      </c>
      <c r="Z113" s="270">
        <v>0</v>
      </c>
      <c r="AA113" s="1112">
        <v>4656078</v>
      </c>
      <c r="AB113" s="1112">
        <v>4794572</v>
      </c>
      <c r="AC113" s="1112">
        <v>363067</v>
      </c>
      <c r="AD113" s="1112">
        <v>158413</v>
      </c>
      <c r="AE113" s="1112">
        <v>38140432</v>
      </c>
      <c r="AF113" s="270">
        <v>0</v>
      </c>
      <c r="AG113" s="270">
        <v>3458403</v>
      </c>
      <c r="AH113" s="1112">
        <v>0</v>
      </c>
      <c r="AI113" s="1112">
        <v>1328998</v>
      </c>
      <c r="AJ113" s="1112">
        <v>14313994</v>
      </c>
      <c r="AK113" s="1112">
        <v>2405124</v>
      </c>
      <c r="AL113" s="270">
        <v>1716106</v>
      </c>
      <c r="AM113" s="270">
        <v>0</v>
      </c>
      <c r="AN113" s="1112">
        <v>19038</v>
      </c>
      <c r="AO113" s="270">
        <v>0</v>
      </c>
      <c r="AP113" s="1112">
        <v>2486022</v>
      </c>
      <c r="AQ113" s="270">
        <v>1443706</v>
      </c>
      <c r="AR113" s="1112">
        <v>0</v>
      </c>
      <c r="AS113" s="1112">
        <v>0</v>
      </c>
      <c r="AT113" s="1112">
        <v>0</v>
      </c>
      <c r="AU113" s="1112">
        <v>0</v>
      </c>
      <c r="AV113" s="270">
        <v>164937</v>
      </c>
      <c r="AW113" s="1112">
        <v>1997873</v>
      </c>
      <c r="AX113" s="1112">
        <v>41244</v>
      </c>
      <c r="AY113" s="1112">
        <v>0</v>
      </c>
      <c r="AZ113" s="270">
        <v>247824</v>
      </c>
      <c r="BA113" s="270">
        <v>5442565</v>
      </c>
      <c r="BB113" s="270">
        <v>0</v>
      </c>
      <c r="BC113" s="1112">
        <v>777468</v>
      </c>
      <c r="BD113" s="270">
        <v>492086</v>
      </c>
      <c r="BE113" s="1112">
        <v>131090</v>
      </c>
      <c r="BF113" s="1112">
        <v>3752851</v>
      </c>
      <c r="BG113" s="1112">
        <v>2354739</v>
      </c>
      <c r="BH113" s="1112">
        <v>3655091</v>
      </c>
      <c r="BI113" s="1112">
        <v>0</v>
      </c>
      <c r="BJ113" s="1112">
        <v>0</v>
      </c>
      <c r="BK113" s="1112">
        <v>0</v>
      </c>
      <c r="BL113" s="270">
        <v>2903125</v>
      </c>
      <c r="BM113" s="270">
        <v>2917606</v>
      </c>
      <c r="BN113" s="1112">
        <v>0</v>
      </c>
      <c r="BO113" s="1112">
        <v>0</v>
      </c>
      <c r="BP113" s="1112">
        <v>417595</v>
      </c>
      <c r="BQ113" s="1112">
        <v>0</v>
      </c>
      <c r="BR113" s="1112">
        <v>0</v>
      </c>
      <c r="BS113" s="270">
        <v>0</v>
      </c>
      <c r="BT113" s="298">
        <v>1550873</v>
      </c>
      <c r="BU113" s="298">
        <v>0</v>
      </c>
      <c r="BV113" s="298">
        <v>830879</v>
      </c>
      <c r="BW113" s="298">
        <v>585037</v>
      </c>
      <c r="BX113" s="298">
        <v>2607444</v>
      </c>
      <c r="BY113" s="298">
        <v>10124</v>
      </c>
      <c r="BZ113" s="298">
        <v>0</v>
      </c>
      <c r="CA113" s="298">
        <v>9086378</v>
      </c>
      <c r="CB113" s="298">
        <v>0</v>
      </c>
      <c r="CC113" s="298">
        <v>30115409</v>
      </c>
      <c r="CD113" s="298">
        <v>3755796</v>
      </c>
      <c r="CE113" s="298">
        <v>1904405</v>
      </c>
      <c r="CF113" s="298">
        <v>685019</v>
      </c>
      <c r="CG113" s="298">
        <v>4344618</v>
      </c>
      <c r="CH113" s="298">
        <v>559768207</v>
      </c>
      <c r="CI113" s="298">
        <v>5010259</v>
      </c>
      <c r="CJ113" s="298">
        <v>463605</v>
      </c>
      <c r="CK113" s="298">
        <v>0</v>
      </c>
      <c r="CL113" s="298">
        <v>561173</v>
      </c>
      <c r="CM113" s="298">
        <v>518546</v>
      </c>
      <c r="CN113" s="298">
        <v>429524</v>
      </c>
      <c r="CO113" s="298">
        <v>2942176</v>
      </c>
      <c r="CP113" s="298">
        <v>0</v>
      </c>
      <c r="CQ113" s="298">
        <v>0</v>
      </c>
    </row>
    <row r="114" spans="1:95" x14ac:dyDescent="0.3">
      <c r="A114" s="270">
        <v>350</v>
      </c>
      <c r="B114" s="270">
        <v>350</v>
      </c>
      <c r="C114" s="270" t="s">
        <v>231</v>
      </c>
      <c r="D114" s="270" t="s">
        <v>430</v>
      </c>
      <c r="E114" s="1112">
        <v>0</v>
      </c>
      <c r="F114" s="1112">
        <v>0</v>
      </c>
      <c r="G114" s="1112">
        <v>1242</v>
      </c>
      <c r="H114" s="1112">
        <v>6389</v>
      </c>
      <c r="I114" s="270">
        <v>33332</v>
      </c>
      <c r="J114" s="1112">
        <v>15794</v>
      </c>
      <c r="K114" s="1112">
        <v>486882</v>
      </c>
      <c r="L114" s="270">
        <v>10761</v>
      </c>
      <c r="M114" s="1112">
        <v>0</v>
      </c>
      <c r="N114" s="270">
        <v>92160</v>
      </c>
      <c r="O114" s="1112">
        <v>124</v>
      </c>
      <c r="P114" s="270">
        <v>0</v>
      </c>
      <c r="Q114" s="1112">
        <v>1484</v>
      </c>
      <c r="R114" s="1112">
        <v>0</v>
      </c>
      <c r="S114" s="270">
        <v>0</v>
      </c>
      <c r="T114" s="270">
        <v>0</v>
      </c>
      <c r="U114" s="1112">
        <v>400943</v>
      </c>
      <c r="V114" s="270">
        <v>0</v>
      </c>
      <c r="W114" s="270">
        <v>49133</v>
      </c>
      <c r="X114" s="270">
        <v>0</v>
      </c>
      <c r="Y114" s="1112">
        <v>22851</v>
      </c>
      <c r="Z114" s="270">
        <v>0</v>
      </c>
      <c r="AA114" s="1112">
        <v>84447</v>
      </c>
      <c r="AB114" s="270">
        <v>354061</v>
      </c>
      <c r="AC114" s="1112">
        <v>0</v>
      </c>
      <c r="AD114" s="1112">
        <v>1</v>
      </c>
      <c r="AE114" s="270">
        <v>98379</v>
      </c>
      <c r="AF114" s="270">
        <v>0</v>
      </c>
      <c r="AG114" s="270">
        <v>3796</v>
      </c>
      <c r="AH114" s="1112">
        <v>0</v>
      </c>
      <c r="AI114" s="1112">
        <v>84043</v>
      </c>
      <c r="AJ114" s="270">
        <v>12131</v>
      </c>
      <c r="AK114" s="1112">
        <v>391</v>
      </c>
      <c r="AL114" s="270">
        <v>810</v>
      </c>
      <c r="AM114" s="270">
        <v>0</v>
      </c>
      <c r="AN114" s="1112">
        <v>44</v>
      </c>
      <c r="AO114" s="1112">
        <v>0</v>
      </c>
      <c r="AP114" s="1112">
        <v>17885</v>
      </c>
      <c r="AQ114" s="270">
        <v>10000</v>
      </c>
      <c r="AR114" s="270">
        <v>0</v>
      </c>
      <c r="AS114" s="1112">
        <v>0</v>
      </c>
      <c r="AT114" s="1112">
        <v>0</v>
      </c>
      <c r="AU114" s="1112">
        <v>0</v>
      </c>
      <c r="AV114" s="270">
        <v>3864</v>
      </c>
      <c r="AW114" s="1112">
        <v>11681</v>
      </c>
      <c r="AX114" s="1112">
        <v>1289</v>
      </c>
      <c r="AY114" s="1112">
        <v>0</v>
      </c>
      <c r="AZ114" s="270">
        <v>0</v>
      </c>
      <c r="BA114" s="270">
        <v>19813</v>
      </c>
      <c r="BB114" s="270">
        <v>0</v>
      </c>
      <c r="BC114" s="1112">
        <v>102759</v>
      </c>
      <c r="BD114" s="270">
        <v>77332</v>
      </c>
      <c r="BE114" s="1112">
        <v>57</v>
      </c>
      <c r="BF114" s="1112">
        <v>4196</v>
      </c>
      <c r="BG114" s="270">
        <v>15648</v>
      </c>
      <c r="BH114" s="1112">
        <v>243690</v>
      </c>
      <c r="BI114" s="270">
        <v>0</v>
      </c>
      <c r="BJ114" s="270">
        <v>0</v>
      </c>
      <c r="BK114" s="1112">
        <v>0</v>
      </c>
      <c r="BL114" s="270">
        <v>110839</v>
      </c>
      <c r="BM114" s="270">
        <v>59905</v>
      </c>
      <c r="BN114" s="1112">
        <v>0</v>
      </c>
      <c r="BO114" s="270">
        <v>0</v>
      </c>
      <c r="BP114" s="1112">
        <v>5331</v>
      </c>
      <c r="BQ114" s="1112">
        <v>0</v>
      </c>
      <c r="BR114" s="1112">
        <v>0</v>
      </c>
      <c r="BS114" s="270">
        <v>0</v>
      </c>
      <c r="BT114" s="298">
        <v>17582</v>
      </c>
      <c r="BU114" s="298">
        <v>0</v>
      </c>
      <c r="BV114" s="298">
        <v>0</v>
      </c>
      <c r="BW114" s="298">
        <v>30934</v>
      </c>
      <c r="BX114" s="298">
        <v>187713</v>
      </c>
      <c r="BY114" s="298">
        <v>1579</v>
      </c>
      <c r="BZ114" s="298">
        <v>0</v>
      </c>
      <c r="CA114" s="298">
        <v>170395</v>
      </c>
      <c r="CB114" s="298">
        <v>0</v>
      </c>
      <c r="CC114" s="298">
        <v>761159</v>
      </c>
      <c r="CD114" s="298">
        <v>104</v>
      </c>
      <c r="CE114" s="298">
        <v>16463</v>
      </c>
      <c r="CF114" s="298">
        <v>0</v>
      </c>
      <c r="CG114" s="298">
        <v>9597</v>
      </c>
      <c r="CH114" s="298">
        <v>8695506</v>
      </c>
      <c r="CI114" s="298">
        <v>538680</v>
      </c>
      <c r="CJ114" s="298">
        <v>1810</v>
      </c>
      <c r="CK114" s="298">
        <v>0</v>
      </c>
      <c r="CL114" s="298">
        <v>775</v>
      </c>
      <c r="CM114" s="298">
        <v>79346</v>
      </c>
      <c r="CN114" s="298">
        <v>31190</v>
      </c>
      <c r="CO114" s="298">
        <v>6559</v>
      </c>
      <c r="CP114" s="298">
        <v>0</v>
      </c>
      <c r="CQ114" s="298">
        <v>0</v>
      </c>
    </row>
    <row r="115" spans="1:95" x14ac:dyDescent="0.3">
      <c r="A115" s="270">
        <v>351</v>
      </c>
      <c r="B115" s="270">
        <v>351</v>
      </c>
      <c r="C115" s="270" t="s">
        <v>232</v>
      </c>
      <c r="D115" s="270" t="s">
        <v>431</v>
      </c>
      <c r="E115" s="1112">
        <v>0</v>
      </c>
      <c r="F115" s="1112">
        <v>0</v>
      </c>
      <c r="G115" s="270">
        <v>0</v>
      </c>
      <c r="H115" s="1112">
        <v>78417</v>
      </c>
      <c r="I115" s="270">
        <v>73695</v>
      </c>
      <c r="J115" s="1112">
        <v>0</v>
      </c>
      <c r="K115" s="1112">
        <v>517611</v>
      </c>
      <c r="L115" s="1112">
        <v>35422</v>
      </c>
      <c r="M115" s="1112">
        <v>0</v>
      </c>
      <c r="N115" s="270">
        <v>0</v>
      </c>
      <c r="O115" s="1112">
        <v>15810</v>
      </c>
      <c r="P115" s="270">
        <v>0</v>
      </c>
      <c r="Q115" s="1112">
        <v>16245</v>
      </c>
      <c r="R115" s="1112">
        <v>0</v>
      </c>
      <c r="S115" s="270">
        <v>0</v>
      </c>
      <c r="T115" s="1112">
        <v>0</v>
      </c>
      <c r="U115" s="1112">
        <v>419110</v>
      </c>
      <c r="V115" s="1112">
        <v>0</v>
      </c>
      <c r="W115" s="270">
        <v>0</v>
      </c>
      <c r="X115" s="1112">
        <v>0</v>
      </c>
      <c r="Y115" s="1112">
        <v>39976</v>
      </c>
      <c r="Z115" s="270">
        <v>0</v>
      </c>
      <c r="AA115" s="1112">
        <v>165</v>
      </c>
      <c r="AB115" s="1112">
        <v>20833</v>
      </c>
      <c r="AC115" s="1112">
        <v>0</v>
      </c>
      <c r="AD115" s="1112">
        <v>5058</v>
      </c>
      <c r="AE115" s="1112">
        <v>1098592</v>
      </c>
      <c r="AF115" s="270">
        <v>0</v>
      </c>
      <c r="AG115" s="270">
        <v>20796</v>
      </c>
      <c r="AH115" s="1112">
        <v>0</v>
      </c>
      <c r="AI115" s="1112">
        <v>0</v>
      </c>
      <c r="AJ115" s="1112">
        <v>454348</v>
      </c>
      <c r="AK115" s="1112">
        <v>35503</v>
      </c>
      <c r="AL115" s="270">
        <v>24861</v>
      </c>
      <c r="AM115" s="270">
        <v>0</v>
      </c>
      <c r="AN115" s="1112">
        <v>856</v>
      </c>
      <c r="AO115" s="270">
        <v>0</v>
      </c>
      <c r="AP115" s="1112">
        <v>212143</v>
      </c>
      <c r="AQ115" s="270">
        <v>12579</v>
      </c>
      <c r="AR115" s="1112">
        <v>0</v>
      </c>
      <c r="AS115" s="1112">
        <v>0</v>
      </c>
      <c r="AT115" s="270">
        <v>0</v>
      </c>
      <c r="AU115" s="1112">
        <v>0</v>
      </c>
      <c r="AV115" s="270">
        <v>4515</v>
      </c>
      <c r="AW115" s="1112">
        <v>117142</v>
      </c>
      <c r="AX115" s="270">
        <v>0</v>
      </c>
      <c r="AY115" s="1112">
        <v>0</v>
      </c>
      <c r="AZ115" s="270">
        <v>4317</v>
      </c>
      <c r="BA115" s="270">
        <v>121982</v>
      </c>
      <c r="BB115" s="270">
        <v>0</v>
      </c>
      <c r="BC115" s="1112">
        <v>17350</v>
      </c>
      <c r="BD115" s="270">
        <v>12944</v>
      </c>
      <c r="BE115" s="270">
        <v>0</v>
      </c>
      <c r="BF115" s="1112">
        <v>6962</v>
      </c>
      <c r="BG115" s="270">
        <v>37561</v>
      </c>
      <c r="BH115" s="1112">
        <v>46592</v>
      </c>
      <c r="BI115" s="1112">
        <v>0</v>
      </c>
      <c r="BJ115" s="1112">
        <v>0</v>
      </c>
      <c r="BK115" s="1112">
        <v>0</v>
      </c>
      <c r="BL115" s="270">
        <v>23099</v>
      </c>
      <c r="BM115" s="270">
        <v>44004</v>
      </c>
      <c r="BN115" s="1112">
        <v>0</v>
      </c>
      <c r="BO115" s="1112">
        <v>0</v>
      </c>
      <c r="BP115" s="1112">
        <v>0</v>
      </c>
      <c r="BQ115" s="1112">
        <v>0</v>
      </c>
      <c r="BR115" s="1112">
        <v>0</v>
      </c>
      <c r="BS115" s="270">
        <v>0</v>
      </c>
      <c r="BT115" s="298">
        <v>25974</v>
      </c>
      <c r="BU115" s="298">
        <v>0</v>
      </c>
      <c r="BV115" s="298">
        <v>16032</v>
      </c>
      <c r="BW115" s="298">
        <v>12719</v>
      </c>
      <c r="BX115" s="298">
        <v>31707</v>
      </c>
      <c r="BY115" s="298">
        <v>0</v>
      </c>
      <c r="BZ115" s="298">
        <v>0</v>
      </c>
      <c r="CA115" s="298">
        <v>190964</v>
      </c>
      <c r="CB115" s="298">
        <v>0</v>
      </c>
      <c r="CC115" s="298">
        <v>568313</v>
      </c>
      <c r="CD115" s="298">
        <v>36369</v>
      </c>
      <c r="CE115" s="298">
        <v>0</v>
      </c>
      <c r="CF115" s="298">
        <v>20005</v>
      </c>
      <c r="CG115" s="298">
        <v>102909</v>
      </c>
      <c r="CH115" s="298">
        <v>21310463</v>
      </c>
      <c r="CI115" s="298">
        <v>160980</v>
      </c>
      <c r="CJ115" s="298">
        <v>4088</v>
      </c>
      <c r="CK115" s="298">
        <v>0</v>
      </c>
      <c r="CL115" s="298">
        <v>0</v>
      </c>
      <c r="CM115" s="298">
        <v>0</v>
      </c>
      <c r="CN115" s="298">
        <v>0</v>
      </c>
      <c r="CO115" s="298">
        <v>92564</v>
      </c>
      <c r="CP115" s="298">
        <v>0</v>
      </c>
      <c r="CQ115" s="298">
        <v>0</v>
      </c>
    </row>
    <row r="116" spans="1:95" x14ac:dyDescent="0.3">
      <c r="A116" s="270">
        <v>352</v>
      </c>
      <c r="B116" s="270">
        <v>352</v>
      </c>
      <c r="C116" s="270" t="s">
        <v>234</v>
      </c>
      <c r="D116" s="270" t="s">
        <v>432</v>
      </c>
      <c r="E116" s="270">
        <v>0</v>
      </c>
      <c r="F116" s="270">
        <v>0</v>
      </c>
      <c r="G116" s="270">
        <v>0</v>
      </c>
      <c r="H116" s="270">
        <v>0</v>
      </c>
      <c r="I116" s="270">
        <v>0</v>
      </c>
      <c r="J116" s="270">
        <v>0</v>
      </c>
      <c r="K116" s="270">
        <v>0</v>
      </c>
      <c r="L116" s="270">
        <v>0</v>
      </c>
      <c r="M116" s="270">
        <v>0</v>
      </c>
      <c r="N116" s="270">
        <v>0</v>
      </c>
      <c r="O116" s="270">
        <v>0</v>
      </c>
      <c r="P116" s="270">
        <v>0</v>
      </c>
      <c r="Q116" s="270">
        <v>10007</v>
      </c>
      <c r="R116" s="270">
        <v>0</v>
      </c>
      <c r="S116" s="270">
        <v>0</v>
      </c>
      <c r="T116" s="270">
        <v>0</v>
      </c>
      <c r="U116" s="270">
        <v>0</v>
      </c>
      <c r="V116" s="270">
        <v>0</v>
      </c>
      <c r="W116" s="270">
        <v>0</v>
      </c>
      <c r="X116" s="270">
        <v>0</v>
      </c>
      <c r="Y116" s="270">
        <v>16000</v>
      </c>
      <c r="Z116" s="270">
        <v>0</v>
      </c>
      <c r="AA116" s="270">
        <v>0</v>
      </c>
      <c r="AB116" s="270">
        <v>0</v>
      </c>
      <c r="AC116" s="270">
        <v>0</v>
      </c>
      <c r="AD116" s="270">
        <v>0</v>
      </c>
      <c r="AE116" s="270">
        <v>0</v>
      </c>
      <c r="AF116" s="270">
        <v>0</v>
      </c>
      <c r="AG116" s="270">
        <v>0</v>
      </c>
      <c r="AH116" s="270">
        <v>0</v>
      </c>
      <c r="AI116" s="1112">
        <v>0</v>
      </c>
      <c r="AJ116" s="270">
        <v>1207238</v>
      </c>
      <c r="AK116" s="270">
        <v>0</v>
      </c>
      <c r="AL116" s="270">
        <v>0</v>
      </c>
      <c r="AM116" s="270">
        <v>0</v>
      </c>
      <c r="AN116" s="270">
        <v>0</v>
      </c>
      <c r="AO116" s="270">
        <v>0</v>
      </c>
      <c r="AP116" s="270">
        <v>0</v>
      </c>
      <c r="AQ116" s="270">
        <v>0</v>
      </c>
      <c r="AR116" s="270">
        <v>0</v>
      </c>
      <c r="AS116" s="270">
        <v>0</v>
      </c>
      <c r="AT116" s="270">
        <v>0</v>
      </c>
      <c r="AU116" s="1112">
        <v>0</v>
      </c>
      <c r="AV116" s="270">
        <v>0</v>
      </c>
      <c r="AW116" s="270">
        <v>29000</v>
      </c>
      <c r="AX116" s="270">
        <v>0</v>
      </c>
      <c r="AY116" s="270">
        <v>0</v>
      </c>
      <c r="AZ116" s="270">
        <v>510476</v>
      </c>
      <c r="BA116" s="270">
        <v>0</v>
      </c>
      <c r="BB116" s="270">
        <v>0</v>
      </c>
      <c r="BC116" s="270">
        <v>0</v>
      </c>
      <c r="BD116" s="270">
        <v>0</v>
      </c>
      <c r="BE116" s="270">
        <v>0</v>
      </c>
      <c r="BF116" s="270">
        <v>0</v>
      </c>
      <c r="BG116" s="270">
        <v>0</v>
      </c>
      <c r="BH116" s="270">
        <v>126893</v>
      </c>
      <c r="BI116" s="1112">
        <v>0</v>
      </c>
      <c r="BJ116" s="270">
        <v>0</v>
      </c>
      <c r="BK116" s="270">
        <v>0</v>
      </c>
      <c r="BL116" s="270">
        <v>0</v>
      </c>
      <c r="BM116" s="1112">
        <v>0</v>
      </c>
      <c r="BN116" s="1112">
        <v>0</v>
      </c>
      <c r="BO116" s="270">
        <v>0</v>
      </c>
      <c r="BP116" s="270">
        <v>0</v>
      </c>
      <c r="BQ116" s="270">
        <v>0</v>
      </c>
      <c r="BR116" s="270">
        <v>0</v>
      </c>
      <c r="BS116" s="270">
        <v>0</v>
      </c>
      <c r="BT116" s="298">
        <v>0</v>
      </c>
      <c r="BU116" s="298">
        <v>0</v>
      </c>
      <c r="BV116" s="298">
        <v>0</v>
      </c>
      <c r="BW116" s="298">
        <v>0</v>
      </c>
      <c r="BX116" s="298">
        <v>0</v>
      </c>
      <c r="BY116" s="298">
        <v>0</v>
      </c>
      <c r="BZ116" s="298">
        <v>0</v>
      </c>
      <c r="CA116" s="298">
        <v>83225</v>
      </c>
      <c r="CB116" s="298">
        <v>0</v>
      </c>
      <c r="CC116" s="298">
        <v>0</v>
      </c>
      <c r="CD116" s="298">
        <v>128529</v>
      </c>
      <c r="CE116" s="298">
        <v>0</v>
      </c>
      <c r="CF116" s="298">
        <v>0</v>
      </c>
      <c r="CG116" s="298">
        <v>0</v>
      </c>
      <c r="CH116" s="298">
        <v>0</v>
      </c>
      <c r="CI116" s="298">
        <v>150000</v>
      </c>
      <c r="CJ116" s="298">
        <v>0</v>
      </c>
      <c r="CK116" s="298">
        <v>0</v>
      </c>
      <c r="CL116" s="298">
        <v>54276</v>
      </c>
      <c r="CM116" s="298">
        <v>0</v>
      </c>
      <c r="CN116" s="298">
        <v>0</v>
      </c>
      <c r="CO116" s="298">
        <v>0</v>
      </c>
      <c r="CP116" s="298">
        <v>0</v>
      </c>
      <c r="CQ116" s="298">
        <v>0</v>
      </c>
    </row>
    <row r="117" spans="1:95" x14ac:dyDescent="0.3">
      <c r="A117" s="270">
        <v>353</v>
      </c>
      <c r="B117" s="270">
        <v>353</v>
      </c>
      <c r="C117" s="270" t="s">
        <v>235</v>
      </c>
      <c r="D117" s="270" t="s">
        <v>433</v>
      </c>
      <c r="E117" s="270">
        <v>0</v>
      </c>
      <c r="F117" s="1112">
        <v>0</v>
      </c>
      <c r="G117" s="1112">
        <v>0</v>
      </c>
      <c r="H117" s="1112">
        <v>0</v>
      </c>
      <c r="I117" s="270">
        <v>0</v>
      </c>
      <c r="J117" s="270">
        <v>0</v>
      </c>
      <c r="K117" s="1112">
        <v>517924</v>
      </c>
      <c r="L117" s="1112">
        <v>0</v>
      </c>
      <c r="M117" s="270">
        <v>0</v>
      </c>
      <c r="N117" s="270">
        <v>75176</v>
      </c>
      <c r="O117" s="270">
        <v>24000</v>
      </c>
      <c r="P117" s="270">
        <v>0</v>
      </c>
      <c r="Q117" s="270">
        <v>0</v>
      </c>
      <c r="R117" s="270">
        <v>0</v>
      </c>
      <c r="S117" s="270">
        <v>0</v>
      </c>
      <c r="T117" s="270">
        <v>0</v>
      </c>
      <c r="U117" s="1112">
        <v>0</v>
      </c>
      <c r="V117" s="270">
        <v>0</v>
      </c>
      <c r="W117" s="270">
        <v>0</v>
      </c>
      <c r="X117" s="270">
        <v>0</v>
      </c>
      <c r="Y117" s="270">
        <v>0</v>
      </c>
      <c r="Z117" s="270">
        <v>0</v>
      </c>
      <c r="AA117" s="270">
        <v>0</v>
      </c>
      <c r="AB117" s="270">
        <v>0</v>
      </c>
      <c r="AC117" s="270">
        <v>0</v>
      </c>
      <c r="AD117" s="270">
        <v>0</v>
      </c>
      <c r="AE117" s="270">
        <v>0</v>
      </c>
      <c r="AF117" s="270">
        <v>0</v>
      </c>
      <c r="AG117" s="270">
        <v>0</v>
      </c>
      <c r="AH117" s="1112">
        <v>0</v>
      </c>
      <c r="AI117" s="270">
        <v>0</v>
      </c>
      <c r="AJ117" s="270">
        <v>0</v>
      </c>
      <c r="AK117" s="270">
        <v>0</v>
      </c>
      <c r="AL117" s="270">
        <v>0</v>
      </c>
      <c r="AM117" s="270">
        <v>0</v>
      </c>
      <c r="AN117" s="270">
        <v>0</v>
      </c>
      <c r="AO117" s="270">
        <v>0</v>
      </c>
      <c r="AP117" s="270">
        <v>387000</v>
      </c>
      <c r="AQ117" s="270">
        <v>0</v>
      </c>
      <c r="AR117" s="270">
        <v>0</v>
      </c>
      <c r="AS117" s="270">
        <v>0</v>
      </c>
      <c r="AT117" s="270">
        <v>0</v>
      </c>
      <c r="AU117" s="1112">
        <v>0</v>
      </c>
      <c r="AV117" s="270">
        <v>0</v>
      </c>
      <c r="AW117" s="270">
        <v>29000</v>
      </c>
      <c r="AX117" s="270">
        <v>20000</v>
      </c>
      <c r="AY117" s="270">
        <v>0</v>
      </c>
      <c r="AZ117" s="270">
        <v>504000</v>
      </c>
      <c r="BA117" s="270">
        <v>0</v>
      </c>
      <c r="BB117" s="270">
        <v>0</v>
      </c>
      <c r="BC117" s="270">
        <v>123881</v>
      </c>
      <c r="BD117" s="270">
        <v>0</v>
      </c>
      <c r="BE117" s="270">
        <v>0</v>
      </c>
      <c r="BF117" s="1112">
        <v>33062</v>
      </c>
      <c r="BG117" s="270">
        <v>0</v>
      </c>
      <c r="BH117" s="1112">
        <v>447256</v>
      </c>
      <c r="BI117" s="270">
        <v>0</v>
      </c>
      <c r="BJ117" s="1112">
        <v>0</v>
      </c>
      <c r="BK117" s="270">
        <v>0</v>
      </c>
      <c r="BL117" s="270">
        <v>0</v>
      </c>
      <c r="BM117" s="270">
        <v>0</v>
      </c>
      <c r="BN117" s="270">
        <v>0</v>
      </c>
      <c r="BO117" s="270">
        <v>0</v>
      </c>
      <c r="BP117" s="270">
        <v>20766</v>
      </c>
      <c r="BQ117" s="1112">
        <v>0</v>
      </c>
      <c r="BR117" s="270">
        <v>0</v>
      </c>
      <c r="BS117" s="270">
        <v>0</v>
      </c>
      <c r="BT117" s="298">
        <v>0</v>
      </c>
      <c r="BU117" s="298">
        <v>0</v>
      </c>
      <c r="BV117" s="298">
        <v>0</v>
      </c>
      <c r="BW117" s="298">
        <v>0</v>
      </c>
      <c r="BX117" s="298">
        <v>130100</v>
      </c>
      <c r="BY117" s="298">
        <v>0</v>
      </c>
      <c r="BZ117" s="298">
        <v>0</v>
      </c>
      <c r="CA117" s="298">
        <v>0</v>
      </c>
      <c r="CB117" s="298">
        <v>0</v>
      </c>
      <c r="CC117" s="298">
        <v>0</v>
      </c>
      <c r="CD117" s="298">
        <v>0</v>
      </c>
      <c r="CE117" s="298">
        <v>0</v>
      </c>
      <c r="CF117" s="298">
        <v>0</v>
      </c>
      <c r="CG117" s="298">
        <v>0</v>
      </c>
      <c r="CH117" s="298">
        <v>527403</v>
      </c>
      <c r="CI117" s="298">
        <v>75000</v>
      </c>
      <c r="CJ117" s="298">
        <v>85193</v>
      </c>
      <c r="CK117" s="298">
        <v>0</v>
      </c>
      <c r="CL117" s="298">
        <v>0</v>
      </c>
      <c r="CM117" s="298">
        <v>211150</v>
      </c>
      <c r="CN117" s="298">
        <v>0</v>
      </c>
      <c r="CO117" s="298">
        <v>0</v>
      </c>
      <c r="CP117" s="298">
        <v>0</v>
      </c>
      <c r="CQ117" s="298">
        <v>0</v>
      </c>
    </row>
    <row r="118" spans="1:95" x14ac:dyDescent="0.3">
      <c r="A118" s="270">
        <v>356</v>
      </c>
      <c r="B118" s="270">
        <v>356</v>
      </c>
      <c r="C118" s="270" t="s">
        <v>551</v>
      </c>
      <c r="D118" s="270" t="s">
        <v>434</v>
      </c>
      <c r="E118" s="270">
        <v>0</v>
      </c>
      <c r="F118" s="270">
        <v>0</v>
      </c>
      <c r="G118" s="270">
        <v>0</v>
      </c>
      <c r="H118" s="1112">
        <v>0</v>
      </c>
      <c r="I118" s="270">
        <v>2704555</v>
      </c>
      <c r="J118" s="270">
        <v>0</v>
      </c>
      <c r="K118" s="270">
        <v>48872266</v>
      </c>
      <c r="L118" s="270">
        <v>0</v>
      </c>
      <c r="M118" s="1112">
        <v>0</v>
      </c>
      <c r="N118" s="270">
        <v>0</v>
      </c>
      <c r="O118" s="270">
        <v>0</v>
      </c>
      <c r="P118" s="270">
        <v>0</v>
      </c>
      <c r="Q118" s="270">
        <v>0</v>
      </c>
      <c r="R118" s="270">
        <v>0</v>
      </c>
      <c r="S118" s="270">
        <v>0</v>
      </c>
      <c r="T118" s="270">
        <v>0</v>
      </c>
      <c r="U118" s="270">
        <v>0</v>
      </c>
      <c r="V118" s="270">
        <v>0</v>
      </c>
      <c r="W118" s="270">
        <v>0</v>
      </c>
      <c r="X118" s="270">
        <v>0</v>
      </c>
      <c r="Y118" s="1112">
        <v>0</v>
      </c>
      <c r="Z118" s="270">
        <v>0</v>
      </c>
      <c r="AA118" s="270">
        <v>55710188</v>
      </c>
      <c r="AB118" s="270">
        <v>0</v>
      </c>
      <c r="AC118" s="270">
        <v>0</v>
      </c>
      <c r="AD118" s="270">
        <v>0</v>
      </c>
      <c r="AE118" s="270">
        <v>0</v>
      </c>
      <c r="AF118" s="270">
        <v>0</v>
      </c>
      <c r="AG118" s="270">
        <v>0</v>
      </c>
      <c r="AH118" s="270">
        <v>0</v>
      </c>
      <c r="AI118" s="270">
        <v>0</v>
      </c>
      <c r="AJ118" s="1112">
        <v>0</v>
      </c>
      <c r="AK118" s="270">
        <v>0</v>
      </c>
      <c r="AL118" s="270">
        <v>0</v>
      </c>
      <c r="AM118" s="270">
        <v>0</v>
      </c>
      <c r="AN118" s="1112">
        <v>0</v>
      </c>
      <c r="AO118" s="270">
        <v>0</v>
      </c>
      <c r="AP118" s="270">
        <v>0</v>
      </c>
      <c r="AQ118" s="270">
        <v>0</v>
      </c>
      <c r="AR118" s="270">
        <v>0</v>
      </c>
      <c r="AS118" s="270">
        <v>0</v>
      </c>
      <c r="AT118" s="270">
        <v>0</v>
      </c>
      <c r="AU118" s="270">
        <v>0</v>
      </c>
      <c r="AV118" s="270">
        <v>0</v>
      </c>
      <c r="AW118" s="270">
        <v>0</v>
      </c>
      <c r="AX118" s="270">
        <v>0</v>
      </c>
      <c r="AY118" s="270">
        <v>38318593</v>
      </c>
      <c r="AZ118" s="270">
        <v>0</v>
      </c>
      <c r="BA118" s="270">
        <v>0</v>
      </c>
      <c r="BB118" s="270">
        <v>0</v>
      </c>
      <c r="BC118" s="270">
        <v>0</v>
      </c>
      <c r="BD118" s="270">
        <v>0</v>
      </c>
      <c r="BE118" s="270">
        <v>415728</v>
      </c>
      <c r="BF118" s="270">
        <v>0</v>
      </c>
      <c r="BG118" s="270">
        <v>0</v>
      </c>
      <c r="BH118" s="1112">
        <v>72351831</v>
      </c>
      <c r="BI118" s="270">
        <v>0</v>
      </c>
      <c r="BJ118" s="270">
        <v>0</v>
      </c>
      <c r="BK118" s="270">
        <v>0</v>
      </c>
      <c r="BL118" s="270">
        <v>8293052</v>
      </c>
      <c r="BM118" s="270">
        <v>0</v>
      </c>
      <c r="BN118" s="270">
        <v>0</v>
      </c>
      <c r="BO118" s="270">
        <v>0</v>
      </c>
      <c r="BP118" s="270">
        <v>0</v>
      </c>
      <c r="BQ118" s="270">
        <v>0</v>
      </c>
      <c r="BR118" s="270">
        <v>0</v>
      </c>
      <c r="BS118" s="270">
        <v>0</v>
      </c>
      <c r="BT118" s="298">
        <v>0</v>
      </c>
      <c r="BU118" s="298">
        <v>0</v>
      </c>
      <c r="BV118" s="298">
        <v>0</v>
      </c>
      <c r="BW118" s="298">
        <v>0</v>
      </c>
      <c r="BX118" s="298">
        <v>0</v>
      </c>
      <c r="BY118" s="298">
        <v>0</v>
      </c>
      <c r="BZ118" s="298">
        <v>0</v>
      </c>
      <c r="CA118" s="298">
        <v>0</v>
      </c>
      <c r="CB118" s="298">
        <v>0</v>
      </c>
      <c r="CC118" s="298">
        <v>174932196</v>
      </c>
      <c r="CD118" s="298">
        <v>0</v>
      </c>
      <c r="CE118" s="298">
        <v>7468876</v>
      </c>
      <c r="CF118" s="298">
        <v>0</v>
      </c>
      <c r="CG118" s="298">
        <v>0</v>
      </c>
      <c r="CH118" s="298">
        <v>0</v>
      </c>
      <c r="CI118" s="298">
        <v>10450742</v>
      </c>
      <c r="CJ118" s="298">
        <v>0</v>
      </c>
      <c r="CK118" s="298">
        <v>0</v>
      </c>
      <c r="CL118" s="298">
        <v>0</v>
      </c>
      <c r="CM118" s="298">
        <v>0</v>
      </c>
      <c r="CN118" s="298">
        <v>0</v>
      </c>
      <c r="CO118" s="298">
        <v>0</v>
      </c>
      <c r="CP118" s="298">
        <v>0</v>
      </c>
      <c r="CQ118" s="298">
        <v>0</v>
      </c>
    </row>
    <row r="119" spans="1:95" x14ac:dyDescent="0.3">
      <c r="A119" s="270">
        <v>357</v>
      </c>
      <c r="B119" s="270">
        <v>357</v>
      </c>
      <c r="C119" s="270" t="s">
        <v>552</v>
      </c>
      <c r="D119" s="270" t="s">
        <v>435</v>
      </c>
      <c r="E119" s="270">
        <v>0</v>
      </c>
      <c r="F119" s="270">
        <v>0</v>
      </c>
      <c r="G119" s="270">
        <v>0</v>
      </c>
      <c r="H119" s="1112">
        <v>0</v>
      </c>
      <c r="I119" s="270">
        <v>1574258</v>
      </c>
      <c r="J119" s="270">
        <v>0</v>
      </c>
      <c r="K119" s="270">
        <v>24201950</v>
      </c>
      <c r="L119" s="270">
        <v>0</v>
      </c>
      <c r="M119" s="1112">
        <v>0</v>
      </c>
      <c r="N119" s="270">
        <v>0</v>
      </c>
      <c r="O119" s="270">
        <v>0</v>
      </c>
      <c r="P119" s="270">
        <v>0</v>
      </c>
      <c r="Q119" s="270">
        <v>0</v>
      </c>
      <c r="R119" s="270">
        <v>0</v>
      </c>
      <c r="S119" s="270">
        <v>0</v>
      </c>
      <c r="T119" s="270">
        <v>0</v>
      </c>
      <c r="U119" s="270">
        <v>0</v>
      </c>
      <c r="V119" s="270">
        <v>0</v>
      </c>
      <c r="W119" s="270">
        <v>0</v>
      </c>
      <c r="X119" s="270">
        <v>0</v>
      </c>
      <c r="Y119" s="1112">
        <v>0</v>
      </c>
      <c r="Z119" s="270">
        <v>0</v>
      </c>
      <c r="AA119" s="270">
        <v>38351959</v>
      </c>
      <c r="AB119" s="270">
        <v>0</v>
      </c>
      <c r="AC119" s="270">
        <v>0</v>
      </c>
      <c r="AD119" s="270">
        <v>0</v>
      </c>
      <c r="AE119" s="270">
        <v>0</v>
      </c>
      <c r="AF119" s="270">
        <v>0</v>
      </c>
      <c r="AG119" s="270">
        <v>0</v>
      </c>
      <c r="AH119" s="270">
        <v>0</v>
      </c>
      <c r="AI119" s="270">
        <v>0</v>
      </c>
      <c r="AJ119" s="1112">
        <v>0</v>
      </c>
      <c r="AK119" s="270">
        <v>0</v>
      </c>
      <c r="AL119" s="270">
        <v>0</v>
      </c>
      <c r="AM119" s="270">
        <v>0</v>
      </c>
      <c r="AN119" s="1112">
        <v>0</v>
      </c>
      <c r="AO119" s="270">
        <v>0</v>
      </c>
      <c r="AP119" s="270">
        <v>0</v>
      </c>
      <c r="AQ119" s="270">
        <v>0</v>
      </c>
      <c r="AR119" s="270">
        <v>0</v>
      </c>
      <c r="AS119" s="270">
        <v>0</v>
      </c>
      <c r="AT119" s="270">
        <v>0</v>
      </c>
      <c r="AU119" s="270">
        <v>0</v>
      </c>
      <c r="AV119" s="270">
        <v>0</v>
      </c>
      <c r="AW119" s="270">
        <v>0</v>
      </c>
      <c r="AX119" s="270">
        <v>0</v>
      </c>
      <c r="AY119" s="270">
        <v>17619018</v>
      </c>
      <c r="AZ119" s="270">
        <v>0</v>
      </c>
      <c r="BA119" s="270">
        <v>0</v>
      </c>
      <c r="BB119" s="270">
        <v>0</v>
      </c>
      <c r="BC119" s="270">
        <v>0</v>
      </c>
      <c r="BD119" s="270">
        <v>0</v>
      </c>
      <c r="BE119" s="270">
        <v>328975</v>
      </c>
      <c r="BF119" s="270">
        <v>0</v>
      </c>
      <c r="BG119" s="270">
        <v>0</v>
      </c>
      <c r="BH119" s="1112">
        <v>43166358</v>
      </c>
      <c r="BI119" s="270">
        <v>0</v>
      </c>
      <c r="BJ119" s="270">
        <v>0</v>
      </c>
      <c r="BK119" s="270">
        <v>0</v>
      </c>
      <c r="BL119" s="270">
        <v>5694601</v>
      </c>
      <c r="BM119" s="270">
        <v>0</v>
      </c>
      <c r="BN119" s="270">
        <v>0</v>
      </c>
      <c r="BO119" s="270">
        <v>0</v>
      </c>
      <c r="BP119" s="270">
        <v>0</v>
      </c>
      <c r="BQ119" s="270">
        <v>0</v>
      </c>
      <c r="BR119" s="270">
        <v>0</v>
      </c>
      <c r="BS119" s="270">
        <v>0</v>
      </c>
      <c r="BT119" s="298">
        <v>0</v>
      </c>
      <c r="BU119" s="298">
        <v>0</v>
      </c>
      <c r="BV119" s="298">
        <v>0</v>
      </c>
      <c r="BW119" s="298">
        <v>0</v>
      </c>
      <c r="BX119" s="298">
        <v>0</v>
      </c>
      <c r="BY119" s="298">
        <v>0</v>
      </c>
      <c r="BZ119" s="298">
        <v>0</v>
      </c>
      <c r="CA119" s="298">
        <v>0</v>
      </c>
      <c r="CB119" s="298">
        <v>0</v>
      </c>
      <c r="CC119" s="298">
        <v>93100431</v>
      </c>
      <c r="CD119" s="298">
        <v>0</v>
      </c>
      <c r="CE119" s="298">
        <v>5101151</v>
      </c>
      <c r="CF119" s="298">
        <v>0</v>
      </c>
      <c r="CG119" s="298">
        <v>0</v>
      </c>
      <c r="CH119" s="298">
        <v>0</v>
      </c>
      <c r="CI119" s="298">
        <v>5247893</v>
      </c>
      <c r="CJ119" s="298">
        <v>0</v>
      </c>
      <c r="CK119" s="298">
        <v>0</v>
      </c>
      <c r="CL119" s="298">
        <v>0</v>
      </c>
      <c r="CM119" s="298">
        <v>0</v>
      </c>
      <c r="CN119" s="298">
        <v>0</v>
      </c>
      <c r="CO119" s="298">
        <v>0</v>
      </c>
      <c r="CP119" s="298">
        <v>0</v>
      </c>
      <c r="CQ119" s="298">
        <v>0</v>
      </c>
    </row>
    <row r="120" spans="1:95" x14ac:dyDescent="0.3">
      <c r="A120" s="270">
        <v>359</v>
      </c>
      <c r="B120" s="270">
        <v>359</v>
      </c>
      <c r="C120" s="270" t="s">
        <v>256</v>
      </c>
      <c r="D120" s="270" t="s">
        <v>436</v>
      </c>
      <c r="E120" s="270">
        <v>0</v>
      </c>
      <c r="F120" s="270">
        <v>0</v>
      </c>
      <c r="G120" s="270">
        <v>0</v>
      </c>
      <c r="H120" s="1112">
        <v>0</v>
      </c>
      <c r="I120" s="270">
        <v>0</v>
      </c>
      <c r="J120" s="270">
        <v>0</v>
      </c>
      <c r="K120" s="270">
        <v>0</v>
      </c>
      <c r="L120" s="270">
        <v>0</v>
      </c>
      <c r="M120" s="1112">
        <v>0</v>
      </c>
      <c r="N120" s="270">
        <v>0</v>
      </c>
      <c r="O120" s="270">
        <v>0</v>
      </c>
      <c r="P120" s="270">
        <v>0</v>
      </c>
      <c r="Q120" s="270">
        <v>0</v>
      </c>
      <c r="R120" s="270">
        <v>0</v>
      </c>
      <c r="S120" s="270">
        <v>0</v>
      </c>
      <c r="T120" s="270">
        <v>0</v>
      </c>
      <c r="U120" s="270">
        <v>0</v>
      </c>
      <c r="V120" s="270">
        <v>0</v>
      </c>
      <c r="W120" s="270">
        <v>0</v>
      </c>
      <c r="X120" s="270">
        <v>0</v>
      </c>
      <c r="Y120" s="1112">
        <v>0</v>
      </c>
      <c r="Z120" s="270">
        <v>0</v>
      </c>
      <c r="AA120" s="270">
        <v>0</v>
      </c>
      <c r="AB120" s="270">
        <v>0</v>
      </c>
      <c r="AC120" s="270">
        <v>0</v>
      </c>
      <c r="AD120" s="270">
        <v>0</v>
      </c>
      <c r="AE120" s="270">
        <v>0</v>
      </c>
      <c r="AF120" s="270">
        <v>0</v>
      </c>
      <c r="AG120" s="270">
        <v>0</v>
      </c>
      <c r="AH120" s="270">
        <v>0</v>
      </c>
      <c r="AI120" s="270">
        <v>0</v>
      </c>
      <c r="AJ120" s="270">
        <v>0</v>
      </c>
      <c r="AK120" s="270">
        <v>0</v>
      </c>
      <c r="AL120" s="270">
        <v>0</v>
      </c>
      <c r="AM120" s="270">
        <v>0</v>
      </c>
      <c r="AN120" s="1112">
        <v>0</v>
      </c>
      <c r="AO120" s="270">
        <v>0</v>
      </c>
      <c r="AP120" s="270">
        <v>0</v>
      </c>
      <c r="AQ120" s="270">
        <v>0</v>
      </c>
      <c r="AR120" s="270">
        <v>0</v>
      </c>
      <c r="AS120" s="270">
        <v>0</v>
      </c>
      <c r="AT120" s="270">
        <v>0</v>
      </c>
      <c r="AU120" s="270">
        <v>0</v>
      </c>
      <c r="AV120" s="270">
        <v>0</v>
      </c>
      <c r="AW120" s="270">
        <v>0</v>
      </c>
      <c r="AX120" s="270">
        <v>0</v>
      </c>
      <c r="AY120" s="270">
        <v>5046181</v>
      </c>
      <c r="AZ120" s="270">
        <v>0</v>
      </c>
      <c r="BA120" s="270">
        <v>0</v>
      </c>
      <c r="BB120" s="270">
        <v>0</v>
      </c>
      <c r="BC120" s="270">
        <v>0</v>
      </c>
      <c r="BD120" s="270">
        <v>0</v>
      </c>
      <c r="BE120" s="270">
        <v>0</v>
      </c>
      <c r="BF120" s="270">
        <v>0</v>
      </c>
      <c r="BG120" s="270">
        <v>0</v>
      </c>
      <c r="BH120" s="270">
        <v>0</v>
      </c>
      <c r="BI120" s="270">
        <v>0</v>
      </c>
      <c r="BJ120" s="270">
        <v>0</v>
      </c>
      <c r="BK120" s="270">
        <v>0</v>
      </c>
      <c r="BL120" s="270">
        <v>668021</v>
      </c>
      <c r="BM120" s="270">
        <v>0</v>
      </c>
      <c r="BN120" s="270">
        <v>0</v>
      </c>
      <c r="BO120" s="270">
        <v>0</v>
      </c>
      <c r="BP120" s="270">
        <v>0</v>
      </c>
      <c r="BQ120" s="270">
        <v>0</v>
      </c>
      <c r="BR120" s="270">
        <v>0</v>
      </c>
      <c r="BS120" s="270">
        <v>0</v>
      </c>
      <c r="BT120" s="298">
        <v>0</v>
      </c>
      <c r="BU120" s="298">
        <v>0</v>
      </c>
      <c r="BV120" s="298">
        <v>0</v>
      </c>
      <c r="BW120" s="298">
        <v>0</v>
      </c>
      <c r="BX120" s="298">
        <v>0</v>
      </c>
      <c r="BY120" s="298">
        <v>0</v>
      </c>
      <c r="BZ120" s="298">
        <v>0</v>
      </c>
      <c r="CA120" s="298">
        <v>0</v>
      </c>
      <c r="CB120" s="298">
        <v>0</v>
      </c>
      <c r="CC120" s="298">
        <v>18776269</v>
      </c>
      <c r="CD120" s="298">
        <v>0</v>
      </c>
      <c r="CE120" s="298">
        <v>0</v>
      </c>
      <c r="CF120" s="298">
        <v>0</v>
      </c>
      <c r="CG120" s="298">
        <v>0</v>
      </c>
      <c r="CH120" s="298">
        <v>0</v>
      </c>
      <c r="CI120" s="298">
        <v>1404082</v>
      </c>
      <c r="CJ120" s="298">
        <v>0</v>
      </c>
      <c r="CK120" s="298">
        <v>0</v>
      </c>
      <c r="CL120" s="298">
        <v>0</v>
      </c>
      <c r="CM120" s="298">
        <v>0</v>
      </c>
      <c r="CN120" s="298">
        <v>0</v>
      </c>
      <c r="CO120" s="298">
        <v>0</v>
      </c>
      <c r="CP120" s="298">
        <v>0</v>
      </c>
      <c r="CQ120" s="298">
        <v>0</v>
      </c>
    </row>
    <row r="121" spans="1:95" x14ac:dyDescent="0.3">
      <c r="A121" s="270">
        <v>360</v>
      </c>
      <c r="B121" s="270">
        <v>360</v>
      </c>
      <c r="C121" s="270" t="s">
        <v>125</v>
      </c>
      <c r="D121" s="270" t="s">
        <v>437</v>
      </c>
      <c r="E121" s="270">
        <v>0</v>
      </c>
      <c r="F121" s="270">
        <v>0</v>
      </c>
      <c r="G121" s="270">
        <v>0</v>
      </c>
      <c r="H121" s="1112">
        <v>0</v>
      </c>
      <c r="I121" s="270">
        <v>294315</v>
      </c>
      <c r="J121" s="270">
        <v>0</v>
      </c>
      <c r="K121" s="270">
        <v>6409932</v>
      </c>
      <c r="L121" s="270">
        <v>0</v>
      </c>
      <c r="M121" s="1112">
        <v>0</v>
      </c>
      <c r="N121" s="270">
        <v>0</v>
      </c>
      <c r="O121" s="270">
        <v>0</v>
      </c>
      <c r="P121" s="270">
        <v>0</v>
      </c>
      <c r="Q121" s="270">
        <v>0</v>
      </c>
      <c r="R121" s="270">
        <v>0</v>
      </c>
      <c r="S121" s="270">
        <v>0</v>
      </c>
      <c r="T121" s="270">
        <v>0</v>
      </c>
      <c r="U121" s="270">
        <v>0</v>
      </c>
      <c r="V121" s="270">
        <v>0</v>
      </c>
      <c r="W121" s="270">
        <v>0</v>
      </c>
      <c r="X121" s="270">
        <v>0</v>
      </c>
      <c r="Y121" s="1112">
        <v>0</v>
      </c>
      <c r="Z121" s="270">
        <v>0</v>
      </c>
      <c r="AA121" s="270">
        <v>6488029</v>
      </c>
      <c r="AB121" s="270">
        <v>0</v>
      </c>
      <c r="AC121" s="270">
        <v>0</v>
      </c>
      <c r="AD121" s="270">
        <v>0</v>
      </c>
      <c r="AE121" s="270">
        <v>0</v>
      </c>
      <c r="AF121" s="270">
        <v>0</v>
      </c>
      <c r="AG121" s="270">
        <v>0</v>
      </c>
      <c r="AH121" s="270">
        <v>0</v>
      </c>
      <c r="AI121" s="270">
        <v>0</v>
      </c>
      <c r="AJ121" s="1112">
        <v>0</v>
      </c>
      <c r="AK121" s="270">
        <v>0</v>
      </c>
      <c r="AL121" s="270">
        <v>0</v>
      </c>
      <c r="AM121" s="270">
        <v>0</v>
      </c>
      <c r="AN121" s="1112">
        <v>0</v>
      </c>
      <c r="AO121" s="270">
        <v>0</v>
      </c>
      <c r="AP121" s="270">
        <v>0</v>
      </c>
      <c r="AQ121" s="270">
        <v>0</v>
      </c>
      <c r="AR121" s="270">
        <v>0</v>
      </c>
      <c r="AS121" s="270">
        <v>0</v>
      </c>
      <c r="AT121" s="270">
        <v>0</v>
      </c>
      <c r="AU121" s="270">
        <v>0</v>
      </c>
      <c r="AV121" s="270">
        <v>0</v>
      </c>
      <c r="AW121" s="270">
        <v>0</v>
      </c>
      <c r="AX121" s="270">
        <v>0</v>
      </c>
      <c r="AY121" s="270">
        <v>11829653</v>
      </c>
      <c r="AZ121" s="270">
        <v>0</v>
      </c>
      <c r="BA121" s="270">
        <v>0</v>
      </c>
      <c r="BB121" s="270">
        <v>0</v>
      </c>
      <c r="BC121" s="270">
        <v>0</v>
      </c>
      <c r="BD121" s="270">
        <v>0</v>
      </c>
      <c r="BE121" s="270">
        <v>30575</v>
      </c>
      <c r="BF121" s="270">
        <v>0</v>
      </c>
      <c r="BG121" s="270">
        <v>0</v>
      </c>
      <c r="BH121" s="1112">
        <v>4937903</v>
      </c>
      <c r="BI121" s="270">
        <v>0</v>
      </c>
      <c r="BJ121" s="270">
        <v>0</v>
      </c>
      <c r="BK121" s="270">
        <v>0</v>
      </c>
      <c r="BL121" s="270">
        <v>1470825</v>
      </c>
      <c r="BM121" s="270">
        <v>0</v>
      </c>
      <c r="BN121" s="270">
        <v>0</v>
      </c>
      <c r="BO121" s="270">
        <v>0</v>
      </c>
      <c r="BP121" s="270">
        <v>0</v>
      </c>
      <c r="BQ121" s="270">
        <v>0</v>
      </c>
      <c r="BR121" s="270">
        <v>0</v>
      </c>
      <c r="BS121" s="270">
        <v>0</v>
      </c>
      <c r="BT121" s="298">
        <v>0</v>
      </c>
      <c r="BU121" s="298">
        <v>0</v>
      </c>
      <c r="BV121" s="298">
        <v>0</v>
      </c>
      <c r="BW121" s="298">
        <v>0</v>
      </c>
      <c r="BX121" s="298">
        <v>0</v>
      </c>
      <c r="BY121" s="298">
        <v>0</v>
      </c>
      <c r="BZ121" s="298">
        <v>0</v>
      </c>
      <c r="CA121" s="298">
        <v>0</v>
      </c>
      <c r="CB121" s="298">
        <v>0</v>
      </c>
      <c r="CC121" s="298">
        <v>41476852</v>
      </c>
      <c r="CD121" s="298">
        <v>0</v>
      </c>
      <c r="CE121" s="298">
        <v>1542053</v>
      </c>
      <c r="CF121" s="298">
        <v>0</v>
      </c>
      <c r="CG121" s="298">
        <v>0</v>
      </c>
      <c r="CH121" s="298">
        <v>0</v>
      </c>
      <c r="CI121" s="298">
        <v>2225276</v>
      </c>
      <c r="CJ121" s="298">
        <v>0</v>
      </c>
      <c r="CK121" s="298">
        <v>0</v>
      </c>
      <c r="CL121" s="298">
        <v>0</v>
      </c>
      <c r="CM121" s="298">
        <v>0</v>
      </c>
      <c r="CN121" s="298">
        <v>0</v>
      </c>
      <c r="CO121" s="298">
        <v>0</v>
      </c>
      <c r="CP121" s="298">
        <v>0</v>
      </c>
      <c r="CQ121" s="298">
        <v>0</v>
      </c>
    </row>
    <row r="122" spans="1:95" x14ac:dyDescent="0.3">
      <c r="A122" s="270">
        <v>361</v>
      </c>
      <c r="B122" s="270">
        <v>361</v>
      </c>
      <c r="C122" s="270" t="s">
        <v>106</v>
      </c>
      <c r="D122" s="270" t="s">
        <v>438</v>
      </c>
      <c r="E122" s="270">
        <v>0</v>
      </c>
      <c r="F122" s="270">
        <v>0</v>
      </c>
      <c r="G122" s="270">
        <v>0</v>
      </c>
      <c r="H122" s="1112">
        <v>0</v>
      </c>
      <c r="I122" s="270">
        <v>3236515</v>
      </c>
      <c r="J122" s="270">
        <v>0</v>
      </c>
      <c r="K122" s="270">
        <v>33932997</v>
      </c>
      <c r="L122" s="270">
        <v>0</v>
      </c>
      <c r="M122" s="1112">
        <v>0</v>
      </c>
      <c r="N122" s="270">
        <v>0</v>
      </c>
      <c r="O122" s="270">
        <v>0</v>
      </c>
      <c r="P122" s="270">
        <v>0</v>
      </c>
      <c r="Q122" s="270">
        <v>0</v>
      </c>
      <c r="R122" s="270">
        <v>0</v>
      </c>
      <c r="S122" s="270">
        <v>0</v>
      </c>
      <c r="T122" s="270">
        <v>0</v>
      </c>
      <c r="U122" s="270">
        <v>0</v>
      </c>
      <c r="V122" s="270">
        <v>0</v>
      </c>
      <c r="W122" s="270">
        <v>0</v>
      </c>
      <c r="X122" s="270">
        <v>0</v>
      </c>
      <c r="Y122" s="1112">
        <v>0</v>
      </c>
      <c r="Z122" s="270">
        <v>0</v>
      </c>
      <c r="AA122" s="270">
        <v>11342823</v>
      </c>
      <c r="AB122" s="270">
        <v>0</v>
      </c>
      <c r="AC122" s="270">
        <v>0</v>
      </c>
      <c r="AD122" s="270">
        <v>0</v>
      </c>
      <c r="AE122" s="270">
        <v>0</v>
      </c>
      <c r="AF122" s="270">
        <v>0</v>
      </c>
      <c r="AG122" s="270">
        <v>0</v>
      </c>
      <c r="AH122" s="270">
        <v>0</v>
      </c>
      <c r="AI122" s="270">
        <v>0</v>
      </c>
      <c r="AJ122" s="1112">
        <v>0</v>
      </c>
      <c r="AK122" s="270">
        <v>0</v>
      </c>
      <c r="AL122" s="270">
        <v>0</v>
      </c>
      <c r="AM122" s="270">
        <v>0</v>
      </c>
      <c r="AN122" s="1112">
        <v>0</v>
      </c>
      <c r="AO122" s="270">
        <v>0</v>
      </c>
      <c r="AP122" s="270">
        <v>0</v>
      </c>
      <c r="AQ122" s="270">
        <v>0</v>
      </c>
      <c r="AR122" s="270">
        <v>0</v>
      </c>
      <c r="AS122" s="270">
        <v>0</v>
      </c>
      <c r="AT122" s="270">
        <v>0</v>
      </c>
      <c r="AU122" s="270">
        <v>0</v>
      </c>
      <c r="AV122" s="270">
        <v>0</v>
      </c>
      <c r="AW122" s="270">
        <v>0</v>
      </c>
      <c r="AX122" s="270">
        <v>0</v>
      </c>
      <c r="AY122" s="270">
        <v>3796410</v>
      </c>
      <c r="AZ122" s="270">
        <v>0</v>
      </c>
      <c r="BA122" s="270">
        <v>0</v>
      </c>
      <c r="BB122" s="270">
        <v>0</v>
      </c>
      <c r="BC122" s="270">
        <v>0</v>
      </c>
      <c r="BD122" s="270">
        <v>0</v>
      </c>
      <c r="BE122" s="270">
        <v>363516</v>
      </c>
      <c r="BF122" s="270">
        <v>0</v>
      </c>
      <c r="BG122" s="270">
        <v>0</v>
      </c>
      <c r="BH122" s="1112">
        <v>17835547</v>
      </c>
      <c r="BI122" s="270">
        <v>0</v>
      </c>
      <c r="BJ122" s="270">
        <v>0</v>
      </c>
      <c r="BK122" s="270">
        <v>0</v>
      </c>
      <c r="BL122" s="270">
        <v>3261054</v>
      </c>
      <c r="BM122" s="270">
        <v>0</v>
      </c>
      <c r="BN122" s="270">
        <v>0</v>
      </c>
      <c r="BO122" s="270">
        <v>0</v>
      </c>
      <c r="BP122" s="270">
        <v>0</v>
      </c>
      <c r="BQ122" s="270">
        <v>0</v>
      </c>
      <c r="BR122" s="270">
        <v>0</v>
      </c>
      <c r="BS122" s="270">
        <v>0</v>
      </c>
      <c r="BT122" s="298">
        <v>0</v>
      </c>
      <c r="BU122" s="298">
        <v>0</v>
      </c>
      <c r="BV122" s="298">
        <v>0</v>
      </c>
      <c r="BW122" s="298">
        <v>0</v>
      </c>
      <c r="BX122" s="298">
        <v>0</v>
      </c>
      <c r="BY122" s="298">
        <v>0</v>
      </c>
      <c r="BZ122" s="298">
        <v>0</v>
      </c>
      <c r="CA122" s="298">
        <v>0</v>
      </c>
      <c r="CB122" s="298">
        <v>0</v>
      </c>
      <c r="CC122" s="298">
        <v>34700810</v>
      </c>
      <c r="CD122" s="298">
        <v>0</v>
      </c>
      <c r="CE122" s="298">
        <v>3045693</v>
      </c>
      <c r="CF122" s="298">
        <v>0</v>
      </c>
      <c r="CG122" s="298">
        <v>0</v>
      </c>
      <c r="CH122" s="298">
        <v>0</v>
      </c>
      <c r="CI122" s="298">
        <v>7159927</v>
      </c>
      <c r="CJ122" s="298">
        <v>0</v>
      </c>
      <c r="CK122" s="298">
        <v>0</v>
      </c>
      <c r="CL122" s="298">
        <v>0</v>
      </c>
      <c r="CM122" s="298">
        <v>0</v>
      </c>
      <c r="CN122" s="298">
        <v>0</v>
      </c>
      <c r="CO122" s="298">
        <v>0</v>
      </c>
      <c r="CP122" s="298">
        <v>0</v>
      </c>
      <c r="CQ122" s="298">
        <v>0</v>
      </c>
    </row>
    <row r="123" spans="1:95" x14ac:dyDescent="0.3">
      <c r="A123" s="270">
        <v>362</v>
      </c>
      <c r="B123" s="270">
        <v>362</v>
      </c>
      <c r="C123" s="270" t="s">
        <v>107</v>
      </c>
      <c r="D123" s="270" t="s">
        <v>439</v>
      </c>
      <c r="E123" s="270">
        <v>0</v>
      </c>
      <c r="F123" s="270">
        <v>0</v>
      </c>
      <c r="G123" s="270">
        <v>0</v>
      </c>
      <c r="H123" s="1112">
        <v>0</v>
      </c>
      <c r="I123" s="270">
        <v>4387648</v>
      </c>
      <c r="J123" s="270">
        <v>0</v>
      </c>
      <c r="K123" s="270">
        <v>58667038</v>
      </c>
      <c r="L123" s="270">
        <v>0</v>
      </c>
      <c r="M123" s="1112">
        <v>0</v>
      </c>
      <c r="N123" s="270">
        <v>0</v>
      </c>
      <c r="O123" s="270">
        <v>0</v>
      </c>
      <c r="P123" s="270">
        <v>0</v>
      </c>
      <c r="Q123" s="270">
        <v>0</v>
      </c>
      <c r="R123" s="270">
        <v>0</v>
      </c>
      <c r="S123" s="270">
        <v>0</v>
      </c>
      <c r="T123" s="270">
        <v>0</v>
      </c>
      <c r="U123" s="270">
        <v>0</v>
      </c>
      <c r="V123" s="270">
        <v>0</v>
      </c>
      <c r="W123" s="270">
        <v>0</v>
      </c>
      <c r="X123" s="270">
        <v>0</v>
      </c>
      <c r="Y123" s="1112">
        <v>0</v>
      </c>
      <c r="Z123" s="270">
        <v>0</v>
      </c>
      <c r="AA123" s="270">
        <v>29559420</v>
      </c>
      <c r="AB123" s="270">
        <v>0</v>
      </c>
      <c r="AC123" s="270">
        <v>0</v>
      </c>
      <c r="AD123" s="270">
        <v>0</v>
      </c>
      <c r="AE123" s="270">
        <v>0</v>
      </c>
      <c r="AF123" s="270">
        <v>0</v>
      </c>
      <c r="AG123" s="270">
        <v>0</v>
      </c>
      <c r="AH123" s="270">
        <v>0</v>
      </c>
      <c r="AI123" s="270">
        <v>0</v>
      </c>
      <c r="AJ123" s="1112">
        <v>0</v>
      </c>
      <c r="AK123" s="270">
        <v>0</v>
      </c>
      <c r="AL123" s="270">
        <v>0</v>
      </c>
      <c r="AM123" s="270">
        <v>0</v>
      </c>
      <c r="AN123" s="1112">
        <v>0</v>
      </c>
      <c r="AO123" s="270">
        <v>0</v>
      </c>
      <c r="AP123" s="270">
        <v>0</v>
      </c>
      <c r="AQ123" s="270">
        <v>0</v>
      </c>
      <c r="AR123" s="270">
        <v>0</v>
      </c>
      <c r="AS123" s="270">
        <v>0</v>
      </c>
      <c r="AT123" s="270">
        <v>0</v>
      </c>
      <c r="AU123" s="270">
        <v>0</v>
      </c>
      <c r="AV123" s="270">
        <v>0</v>
      </c>
      <c r="AW123" s="270">
        <v>0</v>
      </c>
      <c r="AX123" s="270">
        <v>0</v>
      </c>
      <c r="AY123" s="270">
        <v>20901753</v>
      </c>
      <c r="AZ123" s="270">
        <v>0</v>
      </c>
      <c r="BA123" s="270">
        <v>0</v>
      </c>
      <c r="BB123" s="270">
        <v>0</v>
      </c>
      <c r="BC123" s="270">
        <v>0</v>
      </c>
      <c r="BD123" s="270">
        <v>0</v>
      </c>
      <c r="BE123" s="270">
        <v>450269</v>
      </c>
      <c r="BF123" s="270">
        <v>0</v>
      </c>
      <c r="BG123" s="270">
        <v>0</v>
      </c>
      <c r="BH123" s="1112">
        <v>49013056</v>
      </c>
      <c r="BI123" s="270">
        <v>0</v>
      </c>
      <c r="BJ123" s="270">
        <v>0</v>
      </c>
      <c r="BK123" s="270">
        <v>0</v>
      </c>
      <c r="BL123" s="270">
        <v>5424816</v>
      </c>
      <c r="BM123" s="270">
        <v>0</v>
      </c>
      <c r="BN123" s="270">
        <v>0</v>
      </c>
      <c r="BO123" s="270">
        <v>0</v>
      </c>
      <c r="BP123" s="270">
        <v>0</v>
      </c>
      <c r="BQ123" s="270">
        <v>0</v>
      </c>
      <c r="BR123" s="270">
        <v>0</v>
      </c>
      <c r="BS123" s="270">
        <v>0</v>
      </c>
      <c r="BT123" s="298">
        <v>0</v>
      </c>
      <c r="BU123" s="298">
        <v>0</v>
      </c>
      <c r="BV123" s="298">
        <v>0</v>
      </c>
      <c r="BW123" s="298">
        <v>0</v>
      </c>
      <c r="BX123" s="298">
        <v>0</v>
      </c>
      <c r="BY123" s="298">
        <v>0</v>
      </c>
      <c r="BZ123" s="298">
        <v>0</v>
      </c>
      <c r="CA123" s="298">
        <v>0</v>
      </c>
      <c r="CB123" s="298">
        <v>0</v>
      </c>
      <c r="CC123" s="298">
        <v>103293508</v>
      </c>
      <c r="CD123" s="298">
        <v>0</v>
      </c>
      <c r="CE123" s="298">
        <v>5429943</v>
      </c>
      <c r="CF123" s="298">
        <v>0</v>
      </c>
      <c r="CG123" s="298">
        <v>0</v>
      </c>
      <c r="CH123" s="298">
        <v>0</v>
      </c>
      <c r="CI123" s="298">
        <v>11104707</v>
      </c>
      <c r="CJ123" s="298">
        <v>0</v>
      </c>
      <c r="CK123" s="298">
        <v>0</v>
      </c>
      <c r="CL123" s="298">
        <v>0</v>
      </c>
      <c r="CM123" s="298">
        <v>0</v>
      </c>
      <c r="CN123" s="298">
        <v>0</v>
      </c>
      <c r="CO123" s="298">
        <v>0</v>
      </c>
      <c r="CP123" s="298">
        <v>0</v>
      </c>
      <c r="CQ123" s="298">
        <v>0</v>
      </c>
    </row>
    <row r="124" spans="1:95" x14ac:dyDescent="0.3">
      <c r="A124" s="270">
        <v>363</v>
      </c>
      <c r="B124" s="270">
        <v>363</v>
      </c>
      <c r="C124" s="270" t="s">
        <v>242</v>
      </c>
      <c r="D124" s="270" t="s">
        <v>440</v>
      </c>
      <c r="E124" s="270">
        <v>0</v>
      </c>
      <c r="F124" s="270">
        <v>0</v>
      </c>
      <c r="G124" s="270">
        <v>0</v>
      </c>
      <c r="H124" s="1112">
        <v>0</v>
      </c>
      <c r="I124" s="270">
        <v>53895</v>
      </c>
      <c r="J124" s="270">
        <v>0</v>
      </c>
      <c r="K124" s="270">
        <v>794739</v>
      </c>
      <c r="L124" s="270">
        <v>0</v>
      </c>
      <c r="M124" s="1112">
        <v>0</v>
      </c>
      <c r="N124" s="270">
        <v>0</v>
      </c>
      <c r="O124" s="270">
        <v>0</v>
      </c>
      <c r="P124" s="270">
        <v>0</v>
      </c>
      <c r="Q124" s="270">
        <v>0</v>
      </c>
      <c r="R124" s="270">
        <v>0</v>
      </c>
      <c r="S124" s="270">
        <v>0</v>
      </c>
      <c r="T124" s="270">
        <v>0</v>
      </c>
      <c r="U124" s="270">
        <v>0</v>
      </c>
      <c r="V124" s="270">
        <v>0</v>
      </c>
      <c r="W124" s="270">
        <v>0</v>
      </c>
      <c r="X124" s="270">
        <v>0</v>
      </c>
      <c r="Y124" s="1112">
        <v>0</v>
      </c>
      <c r="Z124" s="270">
        <v>0</v>
      </c>
      <c r="AA124" s="270">
        <v>345004</v>
      </c>
      <c r="AB124" s="270">
        <v>0</v>
      </c>
      <c r="AC124" s="270">
        <v>0</v>
      </c>
      <c r="AD124" s="270">
        <v>0</v>
      </c>
      <c r="AE124" s="270">
        <v>0</v>
      </c>
      <c r="AF124" s="270">
        <v>0</v>
      </c>
      <c r="AG124" s="270">
        <v>0</v>
      </c>
      <c r="AH124" s="270">
        <v>0</v>
      </c>
      <c r="AI124" s="270">
        <v>0</v>
      </c>
      <c r="AJ124" s="270">
        <v>0</v>
      </c>
      <c r="AK124" s="270">
        <v>0</v>
      </c>
      <c r="AL124" s="270">
        <v>0</v>
      </c>
      <c r="AM124" s="270">
        <v>0</v>
      </c>
      <c r="AN124" s="1112">
        <v>0</v>
      </c>
      <c r="AO124" s="270">
        <v>0</v>
      </c>
      <c r="AP124" s="270">
        <v>0</v>
      </c>
      <c r="AQ124" s="270">
        <v>0</v>
      </c>
      <c r="AR124" s="270">
        <v>0</v>
      </c>
      <c r="AS124" s="270">
        <v>0</v>
      </c>
      <c r="AT124" s="270">
        <v>0</v>
      </c>
      <c r="AU124" s="270">
        <v>0</v>
      </c>
      <c r="AV124" s="270">
        <v>0</v>
      </c>
      <c r="AW124" s="270">
        <v>0</v>
      </c>
      <c r="AX124" s="270">
        <v>0</v>
      </c>
      <c r="AY124" s="270">
        <v>114152</v>
      </c>
      <c r="AZ124" s="270">
        <v>0</v>
      </c>
      <c r="BA124" s="270">
        <v>0</v>
      </c>
      <c r="BB124" s="270">
        <v>0</v>
      </c>
      <c r="BC124" s="270">
        <v>0</v>
      </c>
      <c r="BD124" s="270">
        <v>0</v>
      </c>
      <c r="BE124" s="270">
        <v>2841</v>
      </c>
      <c r="BF124" s="270">
        <v>0</v>
      </c>
      <c r="BG124" s="270">
        <v>0</v>
      </c>
      <c r="BH124" s="1112">
        <v>836588</v>
      </c>
      <c r="BI124" s="270">
        <v>0</v>
      </c>
      <c r="BJ124" s="270">
        <v>0</v>
      </c>
      <c r="BK124" s="270">
        <v>0</v>
      </c>
      <c r="BL124" s="270">
        <v>31530</v>
      </c>
      <c r="BM124" s="270">
        <v>0</v>
      </c>
      <c r="BN124" s="270">
        <v>0</v>
      </c>
      <c r="BO124" s="270">
        <v>0</v>
      </c>
      <c r="BP124" s="270">
        <v>0</v>
      </c>
      <c r="BQ124" s="270">
        <v>0</v>
      </c>
      <c r="BR124" s="270">
        <v>0</v>
      </c>
      <c r="BS124" s="270">
        <v>0</v>
      </c>
      <c r="BT124" s="298">
        <v>0</v>
      </c>
      <c r="BU124" s="298">
        <v>0</v>
      </c>
      <c r="BV124" s="298">
        <v>0</v>
      </c>
      <c r="BW124" s="298">
        <v>0</v>
      </c>
      <c r="BX124" s="298">
        <v>0</v>
      </c>
      <c r="BY124" s="298">
        <v>0</v>
      </c>
      <c r="BZ124" s="298">
        <v>0</v>
      </c>
      <c r="CA124" s="298">
        <v>0</v>
      </c>
      <c r="CB124" s="298">
        <v>0</v>
      </c>
      <c r="CC124" s="298">
        <v>1247852</v>
      </c>
      <c r="CD124" s="298">
        <v>0</v>
      </c>
      <c r="CE124" s="298">
        <v>135742</v>
      </c>
      <c r="CF124" s="298">
        <v>0</v>
      </c>
      <c r="CG124" s="298">
        <v>0</v>
      </c>
      <c r="CH124" s="298">
        <v>0</v>
      </c>
      <c r="CI124" s="298">
        <v>119663</v>
      </c>
      <c r="CJ124" s="298">
        <v>0</v>
      </c>
      <c r="CK124" s="298">
        <v>0</v>
      </c>
      <c r="CL124" s="298">
        <v>0</v>
      </c>
      <c r="CM124" s="298">
        <v>0</v>
      </c>
      <c r="CN124" s="298">
        <v>0</v>
      </c>
      <c r="CO124" s="298">
        <v>0</v>
      </c>
      <c r="CP124" s="298">
        <v>0</v>
      </c>
      <c r="CQ124" s="298">
        <v>0</v>
      </c>
    </row>
    <row r="125" spans="1:95" x14ac:dyDescent="0.3">
      <c r="A125" s="270">
        <v>364</v>
      </c>
      <c r="B125" s="270">
        <v>364</v>
      </c>
      <c r="C125" s="270" t="s">
        <v>243</v>
      </c>
      <c r="D125" s="270" t="s">
        <v>441</v>
      </c>
      <c r="E125" s="270">
        <v>0</v>
      </c>
      <c r="F125" s="270">
        <v>0</v>
      </c>
      <c r="G125" s="270">
        <v>0</v>
      </c>
      <c r="H125" s="1112">
        <v>0</v>
      </c>
      <c r="I125" s="270">
        <v>0</v>
      </c>
      <c r="J125" s="270">
        <v>0</v>
      </c>
      <c r="K125" s="270">
        <v>0</v>
      </c>
      <c r="L125" s="270">
        <v>0</v>
      </c>
      <c r="M125" s="1112">
        <v>0</v>
      </c>
      <c r="N125" s="270">
        <v>0</v>
      </c>
      <c r="O125" s="270">
        <v>0</v>
      </c>
      <c r="P125" s="270">
        <v>0</v>
      </c>
      <c r="Q125" s="270">
        <v>0</v>
      </c>
      <c r="R125" s="270">
        <v>0</v>
      </c>
      <c r="S125" s="270">
        <v>0</v>
      </c>
      <c r="T125" s="270">
        <v>0</v>
      </c>
      <c r="U125" s="270">
        <v>0</v>
      </c>
      <c r="V125" s="270">
        <v>0</v>
      </c>
      <c r="W125" s="270">
        <v>0</v>
      </c>
      <c r="X125" s="270">
        <v>0</v>
      </c>
      <c r="Y125" s="1112">
        <v>0</v>
      </c>
      <c r="Z125" s="270">
        <v>0</v>
      </c>
      <c r="AA125" s="270">
        <v>109</v>
      </c>
      <c r="AB125" s="270">
        <v>0</v>
      </c>
      <c r="AC125" s="270">
        <v>0</v>
      </c>
      <c r="AD125" s="270">
        <v>0</v>
      </c>
      <c r="AE125" s="270">
        <v>0</v>
      </c>
      <c r="AF125" s="270">
        <v>0</v>
      </c>
      <c r="AG125" s="270">
        <v>0</v>
      </c>
      <c r="AH125" s="270">
        <v>0</v>
      </c>
      <c r="AI125" s="270">
        <v>0</v>
      </c>
      <c r="AJ125" s="270">
        <v>0</v>
      </c>
      <c r="AK125" s="270">
        <v>0</v>
      </c>
      <c r="AL125" s="270">
        <v>0</v>
      </c>
      <c r="AM125" s="270">
        <v>0</v>
      </c>
      <c r="AN125" s="270">
        <v>0</v>
      </c>
      <c r="AO125" s="270">
        <v>0</v>
      </c>
      <c r="AP125" s="270">
        <v>0</v>
      </c>
      <c r="AQ125" s="270">
        <v>0</v>
      </c>
      <c r="AR125" s="270">
        <v>0</v>
      </c>
      <c r="AS125" s="270">
        <v>0</v>
      </c>
      <c r="AT125" s="270">
        <v>0</v>
      </c>
      <c r="AU125" s="270">
        <v>0</v>
      </c>
      <c r="AV125" s="270">
        <v>0</v>
      </c>
      <c r="AW125" s="270">
        <v>0</v>
      </c>
      <c r="AX125" s="270">
        <v>0</v>
      </c>
      <c r="AY125" s="270">
        <v>114714</v>
      </c>
      <c r="AZ125" s="270">
        <v>0</v>
      </c>
      <c r="BA125" s="270">
        <v>0</v>
      </c>
      <c r="BB125" s="270">
        <v>0</v>
      </c>
      <c r="BC125" s="270">
        <v>0</v>
      </c>
      <c r="BD125" s="270">
        <v>0</v>
      </c>
      <c r="BE125" s="270">
        <v>0</v>
      </c>
      <c r="BF125" s="270">
        <v>0</v>
      </c>
      <c r="BG125" s="270">
        <v>0</v>
      </c>
      <c r="BH125" s="270">
        <v>399503</v>
      </c>
      <c r="BI125" s="270">
        <v>0</v>
      </c>
      <c r="BJ125" s="270">
        <v>0</v>
      </c>
      <c r="BK125" s="270">
        <v>0</v>
      </c>
      <c r="BL125" s="270">
        <v>14599</v>
      </c>
      <c r="BM125" s="270">
        <v>0</v>
      </c>
      <c r="BN125" s="270">
        <v>0</v>
      </c>
      <c r="BO125" s="270">
        <v>0</v>
      </c>
      <c r="BP125" s="270">
        <v>0</v>
      </c>
      <c r="BQ125" s="270">
        <v>0</v>
      </c>
      <c r="BR125" s="270">
        <v>0</v>
      </c>
      <c r="BS125" s="270">
        <v>0</v>
      </c>
      <c r="BT125" s="298">
        <v>0</v>
      </c>
      <c r="BU125" s="298">
        <v>0</v>
      </c>
      <c r="BV125" s="298">
        <v>0</v>
      </c>
      <c r="BW125" s="298">
        <v>0</v>
      </c>
      <c r="BX125" s="298">
        <v>0</v>
      </c>
      <c r="BY125" s="298">
        <v>0</v>
      </c>
      <c r="BZ125" s="298">
        <v>0</v>
      </c>
      <c r="CA125" s="298">
        <v>0</v>
      </c>
      <c r="CB125" s="298">
        <v>0</v>
      </c>
      <c r="CC125" s="298">
        <v>2123315</v>
      </c>
      <c r="CD125" s="298">
        <v>0</v>
      </c>
      <c r="CE125" s="298">
        <v>0</v>
      </c>
      <c r="CF125" s="298">
        <v>0</v>
      </c>
      <c r="CG125" s="298">
        <v>0</v>
      </c>
      <c r="CH125" s="298">
        <v>0</v>
      </c>
      <c r="CI125" s="298">
        <v>37590</v>
      </c>
      <c r="CJ125" s="298">
        <v>0</v>
      </c>
      <c r="CK125" s="298">
        <v>0</v>
      </c>
      <c r="CL125" s="298">
        <v>0</v>
      </c>
      <c r="CM125" s="298">
        <v>0</v>
      </c>
      <c r="CN125" s="298">
        <v>0</v>
      </c>
      <c r="CO125" s="298">
        <v>0</v>
      </c>
      <c r="CP125" s="298">
        <v>0</v>
      </c>
      <c r="CQ125" s="298">
        <v>0</v>
      </c>
    </row>
    <row r="126" spans="1:95" x14ac:dyDescent="0.3">
      <c r="A126" s="270">
        <v>365</v>
      </c>
      <c r="B126" s="270">
        <v>365</v>
      </c>
      <c r="C126" s="270" t="s">
        <v>245</v>
      </c>
      <c r="D126" s="270" t="s">
        <v>442</v>
      </c>
      <c r="E126" s="270">
        <v>0</v>
      </c>
      <c r="F126" s="270">
        <v>0</v>
      </c>
      <c r="G126" s="270">
        <v>0</v>
      </c>
      <c r="H126" s="1112">
        <v>0</v>
      </c>
      <c r="I126" s="270">
        <v>0</v>
      </c>
      <c r="J126" s="270">
        <v>0</v>
      </c>
      <c r="K126" s="270">
        <v>0</v>
      </c>
      <c r="L126" s="270">
        <v>0</v>
      </c>
      <c r="M126" s="270">
        <v>0</v>
      </c>
      <c r="N126" s="270">
        <v>0</v>
      </c>
      <c r="O126" s="270">
        <v>0</v>
      </c>
      <c r="P126" s="270">
        <v>0</v>
      </c>
      <c r="Q126" s="270">
        <v>0</v>
      </c>
      <c r="R126" s="270">
        <v>0</v>
      </c>
      <c r="S126" s="270">
        <v>0</v>
      </c>
      <c r="T126" s="270">
        <v>0</v>
      </c>
      <c r="U126" s="270">
        <v>0</v>
      </c>
      <c r="V126" s="270">
        <v>0</v>
      </c>
      <c r="W126" s="270">
        <v>0</v>
      </c>
      <c r="X126" s="270">
        <v>0</v>
      </c>
      <c r="Y126" s="270">
        <v>0</v>
      </c>
      <c r="Z126" s="270">
        <v>0</v>
      </c>
      <c r="AA126" s="270">
        <v>0</v>
      </c>
      <c r="AB126" s="270">
        <v>0</v>
      </c>
      <c r="AC126" s="270">
        <v>0</v>
      </c>
      <c r="AD126" s="270">
        <v>0</v>
      </c>
      <c r="AE126" s="270">
        <v>0</v>
      </c>
      <c r="AF126" s="270">
        <v>0</v>
      </c>
      <c r="AG126" s="270">
        <v>0</v>
      </c>
      <c r="AH126" s="270">
        <v>0</v>
      </c>
      <c r="AI126" s="270">
        <v>0</v>
      </c>
      <c r="AJ126" s="270">
        <v>0</v>
      </c>
      <c r="AK126" s="270">
        <v>0</v>
      </c>
      <c r="AL126" s="270">
        <v>0</v>
      </c>
      <c r="AM126" s="270">
        <v>0</v>
      </c>
      <c r="AN126" s="270">
        <v>0</v>
      </c>
      <c r="AO126" s="270">
        <v>0</v>
      </c>
      <c r="AP126" s="270">
        <v>0</v>
      </c>
      <c r="AQ126" s="270">
        <v>0</v>
      </c>
      <c r="AR126" s="270">
        <v>0</v>
      </c>
      <c r="AS126" s="270">
        <v>0</v>
      </c>
      <c r="AT126" s="270">
        <v>0</v>
      </c>
      <c r="AU126" s="270">
        <v>0</v>
      </c>
      <c r="AV126" s="270">
        <v>0</v>
      </c>
      <c r="AW126" s="270">
        <v>0</v>
      </c>
      <c r="AX126" s="270">
        <v>0</v>
      </c>
      <c r="AY126" s="270">
        <v>0</v>
      </c>
      <c r="AZ126" s="270">
        <v>0</v>
      </c>
      <c r="BA126" s="270">
        <v>0</v>
      </c>
      <c r="BB126" s="270">
        <v>0</v>
      </c>
      <c r="BC126" s="270">
        <v>0</v>
      </c>
      <c r="BD126" s="270">
        <v>0</v>
      </c>
      <c r="BE126" s="270">
        <v>0</v>
      </c>
      <c r="BF126" s="270">
        <v>0</v>
      </c>
      <c r="BG126" s="270">
        <v>0</v>
      </c>
      <c r="BH126" s="270">
        <v>0</v>
      </c>
      <c r="BI126" s="270">
        <v>0</v>
      </c>
      <c r="BJ126" s="270">
        <v>0</v>
      </c>
      <c r="BK126" s="270">
        <v>0</v>
      </c>
      <c r="BL126" s="270">
        <v>0</v>
      </c>
      <c r="BM126" s="270">
        <v>0</v>
      </c>
      <c r="BN126" s="270">
        <v>0</v>
      </c>
      <c r="BO126" s="270">
        <v>0</v>
      </c>
      <c r="BP126" s="270">
        <v>0</v>
      </c>
      <c r="BQ126" s="270">
        <v>0</v>
      </c>
      <c r="BR126" s="270">
        <v>0</v>
      </c>
      <c r="BS126" s="270">
        <v>0</v>
      </c>
      <c r="BT126" s="298">
        <v>0</v>
      </c>
      <c r="BU126" s="298">
        <v>0</v>
      </c>
      <c r="BV126" s="298">
        <v>0</v>
      </c>
      <c r="BW126" s="298">
        <v>0</v>
      </c>
      <c r="BX126" s="298">
        <v>0</v>
      </c>
      <c r="BY126" s="298">
        <v>0</v>
      </c>
      <c r="BZ126" s="298">
        <v>0</v>
      </c>
      <c r="CA126" s="298">
        <v>0</v>
      </c>
      <c r="CB126" s="298">
        <v>0</v>
      </c>
      <c r="CC126" s="298">
        <v>0</v>
      </c>
      <c r="CD126" s="298">
        <v>0</v>
      </c>
      <c r="CE126" s="298">
        <v>0</v>
      </c>
      <c r="CF126" s="298">
        <v>0</v>
      </c>
      <c r="CG126" s="298">
        <v>0</v>
      </c>
      <c r="CH126" s="298">
        <v>0</v>
      </c>
      <c r="CI126" s="298">
        <v>0</v>
      </c>
      <c r="CJ126" s="298">
        <v>0</v>
      </c>
      <c r="CK126" s="298">
        <v>0</v>
      </c>
      <c r="CL126" s="298">
        <v>0</v>
      </c>
      <c r="CM126" s="298">
        <v>0</v>
      </c>
      <c r="CN126" s="298">
        <v>0</v>
      </c>
      <c r="CO126" s="298">
        <v>0</v>
      </c>
      <c r="CP126" s="298">
        <v>0</v>
      </c>
      <c r="CQ126" s="298">
        <v>0</v>
      </c>
    </row>
    <row r="127" spans="1:95" x14ac:dyDescent="0.3">
      <c r="A127" s="270">
        <v>366</v>
      </c>
      <c r="B127" s="270">
        <v>366</v>
      </c>
      <c r="C127" s="270" t="s">
        <v>535</v>
      </c>
      <c r="D127" s="270" t="s">
        <v>443</v>
      </c>
      <c r="E127" s="270">
        <v>0</v>
      </c>
      <c r="F127" s="270">
        <v>0</v>
      </c>
      <c r="G127" s="270">
        <v>0</v>
      </c>
      <c r="H127" s="1112">
        <v>0</v>
      </c>
      <c r="I127" s="270">
        <v>280000</v>
      </c>
      <c r="J127" s="270">
        <v>0</v>
      </c>
      <c r="K127" s="270">
        <v>229604</v>
      </c>
      <c r="L127" s="270">
        <v>0</v>
      </c>
      <c r="M127" s="270">
        <v>0</v>
      </c>
      <c r="N127" s="270">
        <v>0</v>
      </c>
      <c r="O127" s="270">
        <v>0</v>
      </c>
      <c r="P127" s="270">
        <v>0</v>
      </c>
      <c r="Q127" s="270">
        <v>0</v>
      </c>
      <c r="R127" s="270">
        <v>0</v>
      </c>
      <c r="S127" s="270">
        <v>0</v>
      </c>
      <c r="T127" s="270">
        <v>0</v>
      </c>
      <c r="U127" s="270">
        <v>0</v>
      </c>
      <c r="V127" s="270">
        <v>0</v>
      </c>
      <c r="W127" s="270">
        <v>0</v>
      </c>
      <c r="X127" s="270">
        <v>0</v>
      </c>
      <c r="Y127" s="1112">
        <v>0</v>
      </c>
      <c r="Z127" s="270">
        <v>0</v>
      </c>
      <c r="AA127" s="270">
        <v>1706391</v>
      </c>
      <c r="AB127" s="270">
        <v>0</v>
      </c>
      <c r="AC127" s="270">
        <v>0</v>
      </c>
      <c r="AD127" s="270">
        <v>0</v>
      </c>
      <c r="AE127" s="270">
        <v>0</v>
      </c>
      <c r="AF127" s="270">
        <v>0</v>
      </c>
      <c r="AG127" s="270">
        <v>0</v>
      </c>
      <c r="AH127" s="270">
        <v>0</v>
      </c>
      <c r="AI127" s="270">
        <v>0</v>
      </c>
      <c r="AJ127" s="270">
        <v>0</v>
      </c>
      <c r="AK127" s="270">
        <v>0</v>
      </c>
      <c r="AL127" s="270">
        <v>0</v>
      </c>
      <c r="AM127" s="270">
        <v>0</v>
      </c>
      <c r="AN127" s="270">
        <v>0</v>
      </c>
      <c r="AO127" s="270">
        <v>0</v>
      </c>
      <c r="AP127" s="270">
        <v>0</v>
      </c>
      <c r="AQ127" s="270">
        <v>0</v>
      </c>
      <c r="AR127" s="270">
        <v>0</v>
      </c>
      <c r="AS127" s="270">
        <v>0</v>
      </c>
      <c r="AT127" s="270">
        <v>0</v>
      </c>
      <c r="AU127" s="270">
        <v>0</v>
      </c>
      <c r="AV127" s="270">
        <v>0</v>
      </c>
      <c r="AW127" s="270">
        <v>0</v>
      </c>
      <c r="AX127" s="270">
        <v>0</v>
      </c>
      <c r="AY127" s="270">
        <v>0</v>
      </c>
      <c r="AZ127" s="270">
        <v>0</v>
      </c>
      <c r="BA127" s="270">
        <v>0</v>
      </c>
      <c r="BB127" s="270">
        <v>0</v>
      </c>
      <c r="BC127" s="270">
        <v>0</v>
      </c>
      <c r="BD127" s="270">
        <v>0</v>
      </c>
      <c r="BE127" s="270">
        <v>0</v>
      </c>
      <c r="BF127" s="270">
        <v>0</v>
      </c>
      <c r="BG127" s="270">
        <v>0</v>
      </c>
      <c r="BH127" s="1112">
        <v>1653115</v>
      </c>
      <c r="BI127" s="270">
        <v>0</v>
      </c>
      <c r="BJ127" s="270">
        <v>0</v>
      </c>
      <c r="BK127" s="270">
        <v>0</v>
      </c>
      <c r="BL127" s="270">
        <v>1275600</v>
      </c>
      <c r="BM127" s="270">
        <v>0</v>
      </c>
      <c r="BN127" s="270">
        <v>0</v>
      </c>
      <c r="BO127" s="270">
        <v>0</v>
      </c>
      <c r="BP127" s="270">
        <v>0</v>
      </c>
      <c r="BQ127" s="270">
        <v>0</v>
      </c>
      <c r="BR127" s="270">
        <v>0</v>
      </c>
      <c r="BS127" s="270">
        <v>0</v>
      </c>
      <c r="BT127" s="298">
        <v>0</v>
      </c>
      <c r="BU127" s="298">
        <v>0</v>
      </c>
      <c r="BV127" s="298">
        <v>0</v>
      </c>
      <c r="BW127" s="298">
        <v>0</v>
      </c>
      <c r="BX127" s="298">
        <v>0</v>
      </c>
      <c r="BY127" s="298">
        <v>0</v>
      </c>
      <c r="BZ127" s="298">
        <v>0</v>
      </c>
      <c r="CA127" s="298">
        <v>0</v>
      </c>
      <c r="CB127" s="298">
        <v>0</v>
      </c>
      <c r="CC127" s="298">
        <v>2676420</v>
      </c>
      <c r="CD127" s="298">
        <v>0</v>
      </c>
      <c r="CE127" s="298">
        <v>1000000</v>
      </c>
      <c r="CF127" s="298">
        <v>0</v>
      </c>
      <c r="CG127" s="298">
        <v>0</v>
      </c>
      <c r="CH127" s="298">
        <v>0</v>
      </c>
      <c r="CI127" s="298">
        <v>375578</v>
      </c>
      <c r="CJ127" s="298">
        <v>0</v>
      </c>
      <c r="CK127" s="298">
        <v>0</v>
      </c>
      <c r="CL127" s="298">
        <v>0</v>
      </c>
      <c r="CM127" s="298">
        <v>0</v>
      </c>
      <c r="CN127" s="298">
        <v>0</v>
      </c>
      <c r="CO127" s="298">
        <v>0</v>
      </c>
      <c r="CP127" s="298">
        <v>0</v>
      </c>
      <c r="CQ127" s="298">
        <v>0</v>
      </c>
    </row>
    <row r="128" spans="1:95" x14ac:dyDescent="0.3">
      <c r="A128" s="270"/>
      <c r="B128" s="270">
        <v>367</v>
      </c>
      <c r="C128" s="270" t="s">
        <v>641</v>
      </c>
      <c r="D128" s="270" t="s">
        <v>444</v>
      </c>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c r="AA128" s="270"/>
      <c r="AB128" s="270"/>
      <c r="AC128" s="270"/>
      <c r="AD128" s="270"/>
      <c r="AE128" s="270"/>
      <c r="AF128" s="270"/>
      <c r="AG128" s="270"/>
      <c r="AH128" s="270"/>
      <c r="AI128" s="270"/>
      <c r="AJ128" s="270"/>
      <c r="AK128" s="270"/>
      <c r="AL128" s="270"/>
      <c r="AM128" s="270"/>
      <c r="AN128" s="270"/>
      <c r="AO128" s="270"/>
      <c r="AP128" s="270"/>
      <c r="AQ128" s="270"/>
      <c r="AR128" s="270"/>
      <c r="AS128" s="270"/>
      <c r="AT128" s="270"/>
      <c r="AU128" s="270"/>
      <c r="AV128" s="270"/>
      <c r="AW128" s="270"/>
      <c r="AX128" s="270"/>
      <c r="AY128" s="270"/>
      <c r="AZ128" s="270"/>
      <c r="BA128" s="270"/>
      <c r="BB128" s="270"/>
      <c r="BC128" s="270"/>
      <c r="BD128" s="270"/>
      <c r="BE128" s="270"/>
      <c r="BF128" s="270"/>
      <c r="BG128" s="270"/>
      <c r="BH128" s="270"/>
      <c r="BI128" s="270"/>
      <c r="BJ128" s="270"/>
      <c r="BK128" s="270"/>
      <c r="BL128" s="270"/>
      <c r="BM128" s="270"/>
      <c r="BN128" s="270"/>
      <c r="BO128" s="270"/>
      <c r="BP128" s="270"/>
      <c r="BQ128" s="270"/>
      <c r="BR128" s="270"/>
      <c r="BS128" s="270"/>
    </row>
    <row r="129" spans="1:95" x14ac:dyDescent="0.3">
      <c r="A129" s="270">
        <v>368</v>
      </c>
      <c r="B129" s="270">
        <v>368</v>
      </c>
      <c r="C129" s="270" t="s">
        <v>200</v>
      </c>
      <c r="D129" s="270" t="s">
        <v>445</v>
      </c>
      <c r="E129" s="270">
        <v>0</v>
      </c>
      <c r="F129" s="270">
        <v>77478</v>
      </c>
      <c r="G129" s="270">
        <v>0</v>
      </c>
      <c r="H129" s="1112">
        <v>0</v>
      </c>
      <c r="I129" s="270">
        <v>75511</v>
      </c>
      <c r="J129" s="270">
        <v>2380</v>
      </c>
      <c r="K129" s="270">
        <v>6812</v>
      </c>
      <c r="L129" s="270">
        <v>0</v>
      </c>
      <c r="M129" s="270">
        <v>0</v>
      </c>
      <c r="N129" s="270">
        <v>2489</v>
      </c>
      <c r="O129" s="1112">
        <v>0</v>
      </c>
      <c r="P129" s="270">
        <v>0</v>
      </c>
      <c r="Q129" s="270">
        <v>0</v>
      </c>
      <c r="R129" s="270">
        <v>0</v>
      </c>
      <c r="S129" s="270">
        <v>0</v>
      </c>
      <c r="T129" s="270">
        <v>0</v>
      </c>
      <c r="U129" s="270">
        <v>0</v>
      </c>
      <c r="V129" s="270">
        <v>0</v>
      </c>
      <c r="W129" s="270">
        <v>0</v>
      </c>
      <c r="X129" s="270">
        <v>0</v>
      </c>
      <c r="Y129" s="270">
        <v>0</v>
      </c>
      <c r="Z129" s="1112">
        <v>0</v>
      </c>
      <c r="AA129" s="270">
        <v>0</v>
      </c>
      <c r="AB129" s="270">
        <v>0</v>
      </c>
      <c r="AC129" s="1112">
        <v>0</v>
      </c>
      <c r="AD129" s="270">
        <v>0</v>
      </c>
      <c r="AE129" s="270">
        <v>24472</v>
      </c>
      <c r="AF129" s="1112">
        <v>0</v>
      </c>
      <c r="AG129" s="270">
        <v>0</v>
      </c>
      <c r="AH129" s="270">
        <v>0</v>
      </c>
      <c r="AI129" s="270">
        <v>0</v>
      </c>
      <c r="AJ129" s="270">
        <v>0</v>
      </c>
      <c r="AK129" s="1112">
        <v>0</v>
      </c>
      <c r="AL129" s="270">
        <v>0</v>
      </c>
      <c r="AM129" s="270">
        <v>0</v>
      </c>
      <c r="AN129" s="270">
        <v>0</v>
      </c>
      <c r="AO129" s="270">
        <v>0</v>
      </c>
      <c r="AP129" s="270">
        <v>0</v>
      </c>
      <c r="AQ129" s="270">
        <v>0</v>
      </c>
      <c r="AR129" s="270">
        <v>0</v>
      </c>
      <c r="AS129" s="270">
        <v>0</v>
      </c>
      <c r="AT129" s="270">
        <v>0</v>
      </c>
      <c r="AU129" s="270">
        <v>0</v>
      </c>
      <c r="AV129" s="270">
        <v>0</v>
      </c>
      <c r="AW129" s="1112">
        <v>0</v>
      </c>
      <c r="AX129" s="270">
        <v>0</v>
      </c>
      <c r="AY129" s="1112">
        <v>0</v>
      </c>
      <c r="AZ129" s="270">
        <v>0</v>
      </c>
      <c r="BA129" s="270">
        <v>0</v>
      </c>
      <c r="BB129" s="270">
        <v>0</v>
      </c>
      <c r="BC129" s="270">
        <v>0</v>
      </c>
      <c r="BD129" s="270">
        <v>24300</v>
      </c>
      <c r="BE129" s="270">
        <v>0</v>
      </c>
      <c r="BF129" s="270">
        <v>0</v>
      </c>
      <c r="BG129" s="270">
        <v>0</v>
      </c>
      <c r="BH129" s="270">
        <v>7983</v>
      </c>
      <c r="BI129" s="1112">
        <v>0</v>
      </c>
      <c r="BJ129" s="270">
        <v>0</v>
      </c>
      <c r="BK129" s="270">
        <v>0</v>
      </c>
      <c r="BL129" s="270">
        <v>0</v>
      </c>
      <c r="BM129" s="270">
        <v>109505</v>
      </c>
      <c r="BN129" s="270">
        <v>0</v>
      </c>
      <c r="BO129" s="270">
        <v>75002</v>
      </c>
      <c r="BP129" s="270">
        <v>0</v>
      </c>
      <c r="BQ129" s="270">
        <v>1860266</v>
      </c>
      <c r="BR129" s="270">
        <v>0</v>
      </c>
      <c r="BS129" s="1112">
        <v>0</v>
      </c>
      <c r="BT129" s="298">
        <v>19</v>
      </c>
      <c r="BU129" s="298">
        <v>20103</v>
      </c>
      <c r="BV129" s="298">
        <v>0</v>
      </c>
      <c r="BW129" s="298">
        <v>0</v>
      </c>
      <c r="BX129" s="298">
        <v>0</v>
      </c>
      <c r="BY129" s="298">
        <v>250</v>
      </c>
      <c r="BZ129" s="298">
        <v>0</v>
      </c>
      <c r="CA129" s="298">
        <v>0</v>
      </c>
      <c r="CB129" s="298">
        <v>0</v>
      </c>
      <c r="CC129" s="298">
        <v>693945</v>
      </c>
      <c r="CD129" s="298">
        <v>0</v>
      </c>
      <c r="CE129" s="298">
        <v>0</v>
      </c>
      <c r="CF129" s="298">
        <v>0</v>
      </c>
      <c r="CG129" s="298">
        <v>1875</v>
      </c>
      <c r="CH129" s="298">
        <v>0</v>
      </c>
      <c r="CI129" s="298">
        <v>583254</v>
      </c>
      <c r="CJ129" s="298">
        <v>0</v>
      </c>
      <c r="CK129" s="298">
        <v>0</v>
      </c>
      <c r="CL129" s="298">
        <v>0</v>
      </c>
      <c r="CM129" s="298">
        <v>0</v>
      </c>
      <c r="CN129" s="298">
        <v>0</v>
      </c>
      <c r="CO129" s="298">
        <v>0</v>
      </c>
      <c r="CP129" s="298">
        <v>0</v>
      </c>
      <c r="CQ129" s="298">
        <v>0</v>
      </c>
    </row>
    <row r="130" spans="1:95" x14ac:dyDescent="0.3">
      <c r="A130" s="270">
        <v>369</v>
      </c>
      <c r="B130" s="270">
        <v>369</v>
      </c>
      <c r="C130" s="270" t="s">
        <v>205</v>
      </c>
      <c r="D130" s="270" t="s">
        <v>446</v>
      </c>
      <c r="E130" s="1112">
        <v>125323</v>
      </c>
      <c r="F130" s="1112">
        <v>2573612</v>
      </c>
      <c r="G130" s="1112">
        <v>526901</v>
      </c>
      <c r="H130" s="1112">
        <v>1128036</v>
      </c>
      <c r="I130" s="1112">
        <v>204608</v>
      </c>
      <c r="J130" s="1112">
        <v>331079</v>
      </c>
      <c r="K130" s="1112">
        <v>11277595</v>
      </c>
      <c r="L130" s="1112">
        <v>326320</v>
      </c>
      <c r="M130" s="1112">
        <v>227669</v>
      </c>
      <c r="N130" s="1112">
        <v>353567</v>
      </c>
      <c r="O130" s="1112">
        <v>540104</v>
      </c>
      <c r="P130" s="1112">
        <v>30647</v>
      </c>
      <c r="Q130" s="1112">
        <v>282238</v>
      </c>
      <c r="R130" s="1112">
        <v>388502</v>
      </c>
      <c r="S130" s="270">
        <v>714673</v>
      </c>
      <c r="T130" s="1112">
        <v>2000415</v>
      </c>
      <c r="U130" s="1112">
        <v>2861472</v>
      </c>
      <c r="V130" s="1112">
        <v>2154714</v>
      </c>
      <c r="W130" s="1112">
        <v>112375</v>
      </c>
      <c r="X130" s="1112">
        <v>1898281</v>
      </c>
      <c r="Y130" s="1112">
        <v>1600226</v>
      </c>
      <c r="Z130" s="1112">
        <v>21715</v>
      </c>
      <c r="AA130" s="1112">
        <v>3532564</v>
      </c>
      <c r="AB130" s="1112">
        <v>520320</v>
      </c>
      <c r="AC130" s="1112">
        <v>278937</v>
      </c>
      <c r="AD130" s="1112">
        <v>136375</v>
      </c>
      <c r="AE130" s="1112">
        <v>2797825</v>
      </c>
      <c r="AF130" s="1112">
        <v>382176</v>
      </c>
      <c r="AG130" s="1112">
        <v>776811</v>
      </c>
      <c r="AH130" s="1112">
        <v>1452724</v>
      </c>
      <c r="AI130" s="1112">
        <v>162890</v>
      </c>
      <c r="AJ130" s="1112">
        <v>2115816</v>
      </c>
      <c r="AK130" s="1112">
        <v>372364</v>
      </c>
      <c r="AL130" s="270">
        <v>1449634</v>
      </c>
      <c r="AM130" s="1112">
        <v>0</v>
      </c>
      <c r="AN130" s="1112">
        <v>105528</v>
      </c>
      <c r="AO130" s="1112">
        <v>354641</v>
      </c>
      <c r="AP130" s="1112">
        <v>932108</v>
      </c>
      <c r="AQ130" s="1112">
        <v>299169</v>
      </c>
      <c r="AR130" s="1112">
        <v>47494</v>
      </c>
      <c r="AS130" s="1112">
        <v>284073</v>
      </c>
      <c r="AT130" s="1112">
        <v>305331</v>
      </c>
      <c r="AU130" s="1112">
        <v>23298</v>
      </c>
      <c r="AV130" s="270">
        <v>165618</v>
      </c>
      <c r="AW130" s="1112">
        <v>2020808</v>
      </c>
      <c r="AX130" s="1112">
        <v>162299</v>
      </c>
      <c r="AY130" s="1112">
        <v>11192912</v>
      </c>
      <c r="AZ130" s="1112">
        <v>846975</v>
      </c>
      <c r="BA130" s="1112">
        <v>1572831</v>
      </c>
      <c r="BB130" s="1112">
        <v>861297</v>
      </c>
      <c r="BC130" s="1112">
        <v>390222</v>
      </c>
      <c r="BD130" s="1112">
        <v>597834</v>
      </c>
      <c r="BE130" s="1112">
        <v>126878</v>
      </c>
      <c r="BF130" s="1112">
        <v>406236</v>
      </c>
      <c r="BG130" s="1112">
        <v>1271239</v>
      </c>
      <c r="BH130" s="1112">
        <v>3062545</v>
      </c>
      <c r="BI130" s="1112">
        <v>157159</v>
      </c>
      <c r="BJ130" s="1112">
        <v>91570</v>
      </c>
      <c r="BK130" s="1112">
        <v>3374619</v>
      </c>
      <c r="BL130" s="1112">
        <v>1482059</v>
      </c>
      <c r="BM130" s="1112">
        <v>2476727</v>
      </c>
      <c r="BN130" s="1112">
        <v>46751</v>
      </c>
      <c r="BO130" s="1112">
        <v>886677</v>
      </c>
      <c r="BP130" s="1112">
        <v>524418</v>
      </c>
      <c r="BQ130" s="1112">
        <v>2241305</v>
      </c>
      <c r="BR130" s="1112">
        <v>127790</v>
      </c>
      <c r="BS130" s="1112">
        <v>405569</v>
      </c>
      <c r="BT130" s="298">
        <v>1129090</v>
      </c>
      <c r="BU130" s="298">
        <v>1479766</v>
      </c>
      <c r="BV130" s="298">
        <v>231180</v>
      </c>
      <c r="BW130" s="298">
        <v>444412</v>
      </c>
      <c r="BX130" s="298">
        <v>2224722</v>
      </c>
      <c r="BY130" s="298">
        <v>64707</v>
      </c>
      <c r="BZ130" s="298">
        <v>0</v>
      </c>
      <c r="CA130" s="298">
        <v>2355416</v>
      </c>
      <c r="CB130" s="298">
        <v>23650044</v>
      </c>
      <c r="CC130" s="298">
        <v>7379935</v>
      </c>
      <c r="CD130" s="298">
        <v>467583</v>
      </c>
      <c r="CE130" s="298">
        <v>1545780</v>
      </c>
      <c r="CF130" s="298">
        <v>319076</v>
      </c>
      <c r="CG130" s="298">
        <v>501940</v>
      </c>
      <c r="CH130" s="298">
        <v>21938080</v>
      </c>
      <c r="CI130" s="298">
        <v>3168760</v>
      </c>
      <c r="CJ130" s="298">
        <v>23274</v>
      </c>
      <c r="CK130" s="298">
        <v>613550</v>
      </c>
      <c r="CL130" s="298">
        <v>255884</v>
      </c>
      <c r="CM130" s="298">
        <v>2817502</v>
      </c>
      <c r="CN130" s="298">
        <v>1431799</v>
      </c>
      <c r="CO130" s="298">
        <v>312062</v>
      </c>
      <c r="CP130" s="298">
        <v>353359</v>
      </c>
      <c r="CQ130" s="298">
        <v>2682608</v>
      </c>
    </row>
    <row r="131" spans="1:95" x14ac:dyDescent="0.3">
      <c r="A131" s="270">
        <v>370</v>
      </c>
      <c r="B131" s="270">
        <v>370</v>
      </c>
      <c r="C131" s="270" t="s">
        <v>207</v>
      </c>
      <c r="D131" s="270" t="s">
        <v>447</v>
      </c>
      <c r="E131" s="1112">
        <v>0</v>
      </c>
      <c r="F131" s="1112">
        <v>0</v>
      </c>
      <c r="G131" s="270">
        <v>0</v>
      </c>
      <c r="H131" s="1112">
        <v>177270</v>
      </c>
      <c r="I131" s="270">
        <v>0</v>
      </c>
      <c r="J131" s="1112">
        <v>8541</v>
      </c>
      <c r="K131" s="1112">
        <v>975537</v>
      </c>
      <c r="L131" s="270">
        <v>33446</v>
      </c>
      <c r="M131" s="1112">
        <v>0</v>
      </c>
      <c r="N131" s="270">
        <v>0</v>
      </c>
      <c r="O131" s="1112">
        <v>58635</v>
      </c>
      <c r="P131" s="1112">
        <v>0</v>
      </c>
      <c r="Q131" s="1112">
        <v>0</v>
      </c>
      <c r="R131" s="1112">
        <v>300678</v>
      </c>
      <c r="S131" s="270">
        <v>0</v>
      </c>
      <c r="T131" s="1112">
        <v>51733</v>
      </c>
      <c r="U131" s="1112">
        <v>466251</v>
      </c>
      <c r="V131" s="1112">
        <v>260470</v>
      </c>
      <c r="W131" s="270">
        <v>0</v>
      </c>
      <c r="X131" s="270">
        <v>271087</v>
      </c>
      <c r="Y131" s="1112">
        <v>51221</v>
      </c>
      <c r="Z131" s="270">
        <v>0</v>
      </c>
      <c r="AA131" s="1112">
        <v>0</v>
      </c>
      <c r="AB131" s="1112">
        <v>67125</v>
      </c>
      <c r="AC131" s="1112">
        <v>0</v>
      </c>
      <c r="AD131" s="1112">
        <v>0</v>
      </c>
      <c r="AE131" s="270">
        <v>1486442</v>
      </c>
      <c r="AF131" s="1112">
        <v>34444</v>
      </c>
      <c r="AG131" s="270">
        <v>175674</v>
      </c>
      <c r="AH131" s="1112">
        <v>0</v>
      </c>
      <c r="AI131" s="1112">
        <v>0</v>
      </c>
      <c r="AJ131" s="1112">
        <v>0</v>
      </c>
      <c r="AK131" s="1112">
        <v>388828</v>
      </c>
      <c r="AL131" s="270">
        <v>111113</v>
      </c>
      <c r="AM131" s="270">
        <v>0</v>
      </c>
      <c r="AN131" s="1112">
        <v>0</v>
      </c>
      <c r="AO131" s="270">
        <v>0</v>
      </c>
      <c r="AP131" s="1112">
        <v>448002</v>
      </c>
      <c r="AQ131" s="270">
        <v>0</v>
      </c>
      <c r="AR131" s="1112">
        <v>6064</v>
      </c>
      <c r="AS131" s="1112">
        <v>0</v>
      </c>
      <c r="AT131" s="1112">
        <v>48083</v>
      </c>
      <c r="AU131" s="270">
        <v>0</v>
      </c>
      <c r="AV131" s="270">
        <v>12337</v>
      </c>
      <c r="AW131" s="1112">
        <v>246241</v>
      </c>
      <c r="AX131" s="1112">
        <v>27013</v>
      </c>
      <c r="AY131" s="1112">
        <v>0</v>
      </c>
      <c r="AZ131" s="270">
        <v>0</v>
      </c>
      <c r="BA131" s="270">
        <v>353142</v>
      </c>
      <c r="BB131" s="1112">
        <v>0</v>
      </c>
      <c r="BC131" s="1112">
        <v>31130</v>
      </c>
      <c r="BD131" s="270">
        <v>0</v>
      </c>
      <c r="BE131" s="270">
        <v>0</v>
      </c>
      <c r="BF131" s="1112">
        <v>36900</v>
      </c>
      <c r="BG131" s="270">
        <v>73957</v>
      </c>
      <c r="BH131" s="1112">
        <v>170584</v>
      </c>
      <c r="BI131" s="1112">
        <v>0</v>
      </c>
      <c r="BJ131" s="270">
        <v>0</v>
      </c>
      <c r="BK131" s="1112">
        <v>526564</v>
      </c>
      <c r="BL131" s="270">
        <v>953554</v>
      </c>
      <c r="BM131" s="270">
        <v>378337</v>
      </c>
      <c r="BN131" s="270">
        <v>0</v>
      </c>
      <c r="BO131" s="270">
        <v>0</v>
      </c>
      <c r="BP131" s="1112">
        <v>0</v>
      </c>
      <c r="BQ131" s="1112">
        <v>524327</v>
      </c>
      <c r="BR131" s="1112">
        <v>0</v>
      </c>
      <c r="BS131" s="1112">
        <v>0</v>
      </c>
      <c r="BT131" s="298">
        <v>83208</v>
      </c>
      <c r="BU131" s="298">
        <v>96481</v>
      </c>
      <c r="BV131" s="298">
        <v>0</v>
      </c>
      <c r="BW131" s="298">
        <v>48642</v>
      </c>
      <c r="BX131" s="298">
        <v>467301</v>
      </c>
      <c r="BY131" s="298">
        <v>0</v>
      </c>
      <c r="BZ131" s="298">
        <v>0</v>
      </c>
      <c r="CA131" s="298">
        <v>285768</v>
      </c>
      <c r="CB131" s="298">
        <v>0</v>
      </c>
      <c r="CC131" s="298">
        <v>359731</v>
      </c>
      <c r="CD131" s="298">
        <v>51044</v>
      </c>
      <c r="CE131" s="298">
        <v>0</v>
      </c>
      <c r="CF131" s="298">
        <v>36632</v>
      </c>
      <c r="CG131" s="298">
        <v>98492</v>
      </c>
      <c r="CH131" s="298">
        <v>0</v>
      </c>
      <c r="CI131" s="298">
        <v>625505</v>
      </c>
      <c r="CJ131" s="298">
        <v>12523</v>
      </c>
      <c r="CK131" s="298">
        <v>271529</v>
      </c>
      <c r="CL131" s="298">
        <v>0</v>
      </c>
      <c r="CM131" s="298">
        <v>487468</v>
      </c>
      <c r="CN131" s="298">
        <v>56837</v>
      </c>
      <c r="CO131" s="298">
        <v>98493</v>
      </c>
      <c r="CP131" s="298">
        <v>188367</v>
      </c>
      <c r="CQ131" s="298">
        <v>905186</v>
      </c>
    </row>
    <row r="132" spans="1:95" x14ac:dyDescent="0.3">
      <c r="A132" s="270">
        <v>371</v>
      </c>
      <c r="B132" s="270">
        <v>371</v>
      </c>
      <c r="C132" s="270" t="s">
        <v>261</v>
      </c>
      <c r="D132" s="270" t="s">
        <v>448</v>
      </c>
      <c r="E132" s="270">
        <v>0</v>
      </c>
      <c r="F132" s="270">
        <v>0</v>
      </c>
      <c r="G132" s="270">
        <v>0</v>
      </c>
      <c r="H132" s="270">
        <v>0</v>
      </c>
      <c r="I132" s="270">
        <v>0</v>
      </c>
      <c r="J132" s="270">
        <v>0</v>
      </c>
      <c r="K132" s="270">
        <v>0</v>
      </c>
      <c r="L132" s="270">
        <v>0</v>
      </c>
      <c r="M132" s="270">
        <v>0</v>
      </c>
      <c r="N132" s="270">
        <v>0</v>
      </c>
      <c r="O132" s="270">
        <v>0</v>
      </c>
      <c r="P132" s="270">
        <v>0</v>
      </c>
      <c r="Q132" s="270">
        <v>0</v>
      </c>
      <c r="R132" s="270">
        <v>0</v>
      </c>
      <c r="S132" s="270">
        <v>0</v>
      </c>
      <c r="T132" s="270">
        <v>0</v>
      </c>
      <c r="U132" s="270">
        <v>0</v>
      </c>
      <c r="V132" s="270">
        <v>0</v>
      </c>
      <c r="W132" s="270">
        <v>0</v>
      </c>
      <c r="X132" s="270">
        <v>0</v>
      </c>
      <c r="Y132" s="270">
        <v>0</v>
      </c>
      <c r="Z132" s="270">
        <v>0</v>
      </c>
      <c r="AA132" s="270">
        <v>0</v>
      </c>
      <c r="AB132" s="270">
        <v>0</v>
      </c>
      <c r="AC132" s="270">
        <v>0</v>
      </c>
      <c r="AD132" s="270">
        <v>0</v>
      </c>
      <c r="AE132" s="270">
        <v>0</v>
      </c>
      <c r="AF132" s="270">
        <v>0</v>
      </c>
      <c r="AG132" s="270">
        <v>0</v>
      </c>
      <c r="AH132" s="270">
        <v>0</v>
      </c>
      <c r="AI132" s="270">
        <v>0</v>
      </c>
      <c r="AJ132" s="270">
        <v>0</v>
      </c>
      <c r="AK132" s="270">
        <v>0</v>
      </c>
      <c r="AL132" s="270">
        <v>0</v>
      </c>
      <c r="AM132" s="270">
        <v>0</v>
      </c>
      <c r="AN132" s="270">
        <v>0</v>
      </c>
      <c r="AO132" s="270">
        <v>0</v>
      </c>
      <c r="AP132" s="270">
        <v>0</v>
      </c>
      <c r="AQ132" s="270">
        <v>0</v>
      </c>
      <c r="AR132" s="270">
        <v>0</v>
      </c>
      <c r="AS132" s="270">
        <v>0</v>
      </c>
      <c r="AT132" s="270">
        <v>0</v>
      </c>
      <c r="AU132" s="270">
        <v>0</v>
      </c>
      <c r="AV132" s="270">
        <v>0</v>
      </c>
      <c r="AW132" s="270">
        <v>0</v>
      </c>
      <c r="AX132" s="270">
        <v>0</v>
      </c>
      <c r="AY132" s="270">
        <v>4376185</v>
      </c>
      <c r="AZ132" s="270">
        <v>0</v>
      </c>
      <c r="BA132" s="270">
        <v>0</v>
      </c>
      <c r="BB132" s="270">
        <v>0</v>
      </c>
      <c r="BC132" s="270">
        <v>0</v>
      </c>
      <c r="BD132" s="270">
        <v>0</v>
      </c>
      <c r="BE132" s="270">
        <v>0</v>
      </c>
      <c r="BF132" s="270">
        <v>0</v>
      </c>
      <c r="BG132" s="270">
        <v>0</v>
      </c>
      <c r="BH132" s="270">
        <v>0</v>
      </c>
      <c r="BI132" s="270">
        <v>0</v>
      </c>
      <c r="BJ132" s="270">
        <v>0</v>
      </c>
      <c r="BK132" s="270">
        <v>0</v>
      </c>
      <c r="BL132" s="270">
        <v>0</v>
      </c>
      <c r="BM132" s="270">
        <v>0</v>
      </c>
      <c r="BN132" s="270">
        <v>0</v>
      </c>
      <c r="BO132" s="270">
        <v>0</v>
      </c>
      <c r="BP132" s="270">
        <v>0</v>
      </c>
      <c r="BQ132" s="270">
        <v>0</v>
      </c>
      <c r="BR132" s="270">
        <v>0</v>
      </c>
      <c r="BS132" s="270">
        <v>0</v>
      </c>
      <c r="BT132" s="298">
        <v>0</v>
      </c>
      <c r="BU132" s="298">
        <v>0</v>
      </c>
      <c r="BV132" s="298">
        <v>0</v>
      </c>
      <c r="BW132" s="298">
        <v>0</v>
      </c>
      <c r="BX132" s="298">
        <v>0</v>
      </c>
      <c r="BY132" s="298">
        <v>0</v>
      </c>
      <c r="BZ132" s="298">
        <v>0</v>
      </c>
      <c r="CA132" s="298">
        <v>0</v>
      </c>
      <c r="CB132" s="298">
        <v>22334832</v>
      </c>
      <c r="CC132" s="298">
        <v>0</v>
      </c>
      <c r="CD132" s="298">
        <v>0</v>
      </c>
      <c r="CE132" s="298">
        <v>0</v>
      </c>
      <c r="CF132" s="298">
        <v>0</v>
      </c>
      <c r="CG132" s="298">
        <v>0</v>
      </c>
      <c r="CH132" s="298">
        <v>1949520</v>
      </c>
      <c r="CI132" s="298">
        <v>0</v>
      </c>
      <c r="CJ132" s="298">
        <v>0</v>
      </c>
      <c r="CK132" s="298">
        <v>0</v>
      </c>
      <c r="CL132" s="298">
        <v>0</v>
      </c>
      <c r="CM132" s="298">
        <v>0</v>
      </c>
      <c r="CN132" s="298">
        <v>0</v>
      </c>
      <c r="CO132" s="298">
        <v>0</v>
      </c>
      <c r="CP132" s="298">
        <v>0</v>
      </c>
      <c r="CQ132" s="298">
        <v>0</v>
      </c>
    </row>
    <row r="133" spans="1:95" x14ac:dyDescent="0.3">
      <c r="A133" s="270">
        <v>373</v>
      </c>
      <c r="B133" s="270">
        <v>373</v>
      </c>
      <c r="C133" s="270" t="s">
        <v>548</v>
      </c>
      <c r="D133" s="270" t="s">
        <v>449</v>
      </c>
      <c r="E133" s="1112">
        <v>22377</v>
      </c>
      <c r="F133" s="1112">
        <v>27650171</v>
      </c>
      <c r="G133" s="1112">
        <v>1114830</v>
      </c>
      <c r="H133" s="1112">
        <v>3415790</v>
      </c>
      <c r="I133" s="1112">
        <v>0</v>
      </c>
      <c r="J133" s="1112">
        <v>1397776</v>
      </c>
      <c r="K133" s="1112">
        <v>51977893</v>
      </c>
      <c r="L133" s="1112">
        <v>626789</v>
      </c>
      <c r="M133" s="1112">
        <v>262583</v>
      </c>
      <c r="N133" s="1112">
        <v>732174</v>
      </c>
      <c r="O133" s="1112">
        <v>1494329</v>
      </c>
      <c r="P133" s="1112">
        <v>21503</v>
      </c>
      <c r="Q133" s="1112">
        <v>333227</v>
      </c>
      <c r="R133" s="1112">
        <v>1823753</v>
      </c>
      <c r="S133" s="270">
        <v>3305788</v>
      </c>
      <c r="T133" s="1112">
        <v>4943947</v>
      </c>
      <c r="U133" s="1112">
        <v>7212504</v>
      </c>
      <c r="V133" s="1112">
        <v>3133507</v>
      </c>
      <c r="W133" s="1112">
        <v>185426</v>
      </c>
      <c r="X133" s="1112">
        <v>6156606</v>
      </c>
      <c r="Y133" s="1112">
        <v>3636968</v>
      </c>
      <c r="Z133" s="1112">
        <v>74014</v>
      </c>
      <c r="AA133" s="1112">
        <v>62069423</v>
      </c>
      <c r="AB133" s="1112">
        <v>1543167</v>
      </c>
      <c r="AC133" s="1112">
        <v>604907</v>
      </c>
      <c r="AD133" s="1112">
        <v>182947</v>
      </c>
      <c r="AE133" s="1112">
        <v>21993907</v>
      </c>
      <c r="AF133" s="1112">
        <v>1282543</v>
      </c>
      <c r="AG133" s="1112">
        <v>2149777</v>
      </c>
      <c r="AH133" s="1112">
        <v>874543</v>
      </c>
      <c r="AI133" s="1112">
        <v>58565</v>
      </c>
      <c r="AJ133" s="1112">
        <v>818338</v>
      </c>
      <c r="AK133" s="1112">
        <v>2392006</v>
      </c>
      <c r="AL133" s="270">
        <v>3192661</v>
      </c>
      <c r="AM133" s="1112">
        <v>0</v>
      </c>
      <c r="AN133" s="1112">
        <v>76854</v>
      </c>
      <c r="AO133" s="1112">
        <v>61990</v>
      </c>
      <c r="AP133" s="1112">
        <v>6300539</v>
      </c>
      <c r="AQ133" s="1112">
        <v>5411023</v>
      </c>
      <c r="AR133" s="1112">
        <v>116180</v>
      </c>
      <c r="AS133" s="1112">
        <v>269100</v>
      </c>
      <c r="AT133" s="1112">
        <v>502891</v>
      </c>
      <c r="AU133" s="1112">
        <v>169485</v>
      </c>
      <c r="AV133" s="270">
        <v>385754</v>
      </c>
      <c r="AW133" s="1112">
        <v>3038570</v>
      </c>
      <c r="AX133" s="1112">
        <v>721934</v>
      </c>
      <c r="AY133" s="1112">
        <v>69792462</v>
      </c>
      <c r="AZ133" s="1112">
        <v>1176935</v>
      </c>
      <c r="BA133" s="1112">
        <v>5725734</v>
      </c>
      <c r="BB133" s="1112">
        <v>320191</v>
      </c>
      <c r="BC133" s="1112">
        <v>426038</v>
      </c>
      <c r="BD133" s="270">
        <v>3946006</v>
      </c>
      <c r="BE133" s="1112">
        <v>81922</v>
      </c>
      <c r="BF133" s="1112">
        <v>435202</v>
      </c>
      <c r="BG133" s="1112">
        <v>2349928</v>
      </c>
      <c r="BH133" s="1112">
        <v>17729415</v>
      </c>
      <c r="BI133" s="1112">
        <v>169993</v>
      </c>
      <c r="BJ133" s="1112">
        <v>68009</v>
      </c>
      <c r="BK133" s="1112">
        <v>32398727</v>
      </c>
      <c r="BL133" s="1112">
        <v>40968636</v>
      </c>
      <c r="BM133" s="1112">
        <v>7337930</v>
      </c>
      <c r="BN133" s="1112">
        <v>147169</v>
      </c>
      <c r="BO133" s="1112">
        <v>571936</v>
      </c>
      <c r="BP133" s="1112">
        <v>3838360</v>
      </c>
      <c r="BQ133" s="1112">
        <v>3867143</v>
      </c>
      <c r="BR133" s="1112">
        <v>496365</v>
      </c>
      <c r="BS133" s="1112">
        <v>0</v>
      </c>
      <c r="BT133" s="298">
        <v>3443652</v>
      </c>
      <c r="BU133" s="298">
        <v>2176661</v>
      </c>
      <c r="BV133" s="298">
        <v>810244</v>
      </c>
      <c r="BW133" s="298">
        <v>2094840</v>
      </c>
      <c r="BX133" s="298">
        <v>6801097</v>
      </c>
      <c r="BY133" s="298">
        <v>216339</v>
      </c>
      <c r="BZ133" s="298">
        <v>0</v>
      </c>
      <c r="CA133" s="298">
        <v>11511401</v>
      </c>
      <c r="CB133" s="298">
        <v>206576034</v>
      </c>
      <c r="CC133" s="298">
        <v>62632851</v>
      </c>
      <c r="CD133" s="298">
        <v>400738</v>
      </c>
      <c r="CE133" s="298">
        <v>3877205</v>
      </c>
      <c r="CF133" s="298">
        <v>513684</v>
      </c>
      <c r="CG133" s="298">
        <v>2139662</v>
      </c>
      <c r="CH133" s="298">
        <v>258576625</v>
      </c>
      <c r="CI133" s="298">
        <v>23891978</v>
      </c>
      <c r="CJ133" s="298">
        <v>1503122</v>
      </c>
      <c r="CK133" s="298">
        <v>2136694</v>
      </c>
      <c r="CL133" s="298">
        <v>920909</v>
      </c>
      <c r="CM133" s="298">
        <v>8122266</v>
      </c>
      <c r="CN133" s="298">
        <v>2518398</v>
      </c>
      <c r="CO133" s="298">
        <v>1639448</v>
      </c>
      <c r="CP133" s="298">
        <v>970745</v>
      </c>
      <c r="CQ133" s="298">
        <v>15802499</v>
      </c>
    </row>
    <row r="134" spans="1:95" x14ac:dyDescent="0.3">
      <c r="A134" s="270">
        <v>375</v>
      </c>
      <c r="B134" s="270">
        <v>375</v>
      </c>
      <c r="C134" s="270" t="s">
        <v>222</v>
      </c>
      <c r="D134" s="270" t="s">
        <v>450</v>
      </c>
      <c r="E134" s="1112">
        <v>0</v>
      </c>
      <c r="F134" s="1112">
        <v>0</v>
      </c>
      <c r="G134" s="1112">
        <v>489295</v>
      </c>
      <c r="H134" s="1112">
        <v>1126820</v>
      </c>
      <c r="I134" s="270">
        <v>2097803</v>
      </c>
      <c r="J134" s="1112">
        <v>37861</v>
      </c>
      <c r="K134" s="1112">
        <v>18796710</v>
      </c>
      <c r="L134" s="1112">
        <v>621999</v>
      </c>
      <c r="M134" s="1112">
        <v>0</v>
      </c>
      <c r="N134" s="270">
        <v>1483002</v>
      </c>
      <c r="O134" s="1112">
        <v>171309</v>
      </c>
      <c r="P134" s="270">
        <v>0</v>
      </c>
      <c r="Q134" s="1112">
        <v>44803</v>
      </c>
      <c r="R134" s="1112">
        <v>0</v>
      </c>
      <c r="S134" s="270">
        <v>0</v>
      </c>
      <c r="T134" s="1112">
        <v>0</v>
      </c>
      <c r="U134" s="1112">
        <v>4761316</v>
      </c>
      <c r="V134" s="1112">
        <v>0</v>
      </c>
      <c r="W134" s="1112">
        <v>2397677</v>
      </c>
      <c r="X134" s="1112">
        <v>0</v>
      </c>
      <c r="Y134" s="1112">
        <v>2228685</v>
      </c>
      <c r="Z134" s="270">
        <v>0</v>
      </c>
      <c r="AA134" s="1112">
        <v>-123265</v>
      </c>
      <c r="AB134" s="1112">
        <v>2011243</v>
      </c>
      <c r="AC134" s="1112">
        <v>-261066</v>
      </c>
      <c r="AD134" s="1112">
        <v>166772</v>
      </c>
      <c r="AE134" s="1112">
        <v>9551921</v>
      </c>
      <c r="AF134" s="270">
        <v>0</v>
      </c>
      <c r="AG134" s="270">
        <v>2013929</v>
      </c>
      <c r="AH134" s="1112">
        <v>0</v>
      </c>
      <c r="AI134" s="1112">
        <v>363801</v>
      </c>
      <c r="AJ134" s="1112">
        <v>700534</v>
      </c>
      <c r="AK134" s="1112">
        <v>765606</v>
      </c>
      <c r="AL134" s="270">
        <v>837699</v>
      </c>
      <c r="AM134" s="270">
        <v>0</v>
      </c>
      <c r="AN134" s="1112">
        <v>60112</v>
      </c>
      <c r="AO134" s="1112">
        <v>0</v>
      </c>
      <c r="AP134" s="1112">
        <v>1322495</v>
      </c>
      <c r="AQ134" s="270">
        <v>159197</v>
      </c>
      <c r="AR134" s="1112">
        <v>0</v>
      </c>
      <c r="AS134" s="1112">
        <v>0</v>
      </c>
      <c r="AT134" s="1112">
        <v>0</v>
      </c>
      <c r="AU134" s="1112">
        <v>0</v>
      </c>
      <c r="AV134" s="270">
        <v>193360</v>
      </c>
      <c r="AW134" s="1112">
        <v>1674302</v>
      </c>
      <c r="AX134" s="1112">
        <v>392977</v>
      </c>
      <c r="AY134" s="1112">
        <v>0</v>
      </c>
      <c r="AZ134" s="1112">
        <v>208401</v>
      </c>
      <c r="BA134" s="270">
        <v>3345652</v>
      </c>
      <c r="BB134" s="270">
        <v>0</v>
      </c>
      <c r="BC134" s="1112">
        <v>1497242</v>
      </c>
      <c r="BD134" s="270">
        <v>1034276</v>
      </c>
      <c r="BE134" s="1112">
        <v>25882</v>
      </c>
      <c r="BF134" s="1112">
        <v>628523</v>
      </c>
      <c r="BG134" s="1112">
        <v>2093788</v>
      </c>
      <c r="BH134" s="1112">
        <v>6777511</v>
      </c>
      <c r="BI134" s="1112">
        <v>0</v>
      </c>
      <c r="BJ134" s="1112">
        <v>0</v>
      </c>
      <c r="BK134" s="1112">
        <v>0</v>
      </c>
      <c r="BL134" s="270">
        <v>4182535</v>
      </c>
      <c r="BM134" s="1112">
        <v>2954545</v>
      </c>
      <c r="BN134" s="1112">
        <v>0</v>
      </c>
      <c r="BO134" s="1112">
        <v>0</v>
      </c>
      <c r="BP134" s="1112">
        <v>1999517</v>
      </c>
      <c r="BQ134" s="1112">
        <v>0</v>
      </c>
      <c r="BR134" s="1112">
        <v>0</v>
      </c>
      <c r="BS134" s="270">
        <v>0</v>
      </c>
      <c r="BT134" s="298">
        <v>428541</v>
      </c>
      <c r="BU134" s="298">
        <v>0</v>
      </c>
      <c r="BV134" s="298">
        <v>272524</v>
      </c>
      <c r="BW134" s="298">
        <v>1842451</v>
      </c>
      <c r="BX134" s="298">
        <v>2220277</v>
      </c>
      <c r="BY134" s="298">
        <v>91140</v>
      </c>
      <c r="BZ134" s="298">
        <v>0</v>
      </c>
      <c r="CA134" s="298">
        <v>7172656</v>
      </c>
      <c r="CB134" s="298">
        <v>0</v>
      </c>
      <c r="CC134" s="298">
        <v>13769137</v>
      </c>
      <c r="CD134" s="298">
        <v>13728</v>
      </c>
      <c r="CE134" s="298">
        <v>1198754</v>
      </c>
      <c r="CF134" s="298">
        <v>88696</v>
      </c>
      <c r="CG134" s="298">
        <v>820435</v>
      </c>
      <c r="CH134" s="298">
        <v>107874584</v>
      </c>
      <c r="CI134" s="298">
        <v>1568166</v>
      </c>
      <c r="CJ134" s="298">
        <v>825679</v>
      </c>
      <c r="CK134" s="298">
        <v>0</v>
      </c>
      <c r="CL134" s="298">
        <v>707717</v>
      </c>
      <c r="CM134" s="298">
        <v>7995462</v>
      </c>
      <c r="CN134" s="298">
        <v>3252040</v>
      </c>
      <c r="CO134" s="298">
        <v>2084897</v>
      </c>
      <c r="CP134" s="298">
        <v>0</v>
      </c>
      <c r="CQ134" s="298">
        <v>0</v>
      </c>
    </row>
    <row r="135" spans="1:95" x14ac:dyDescent="0.3">
      <c r="A135" s="270">
        <v>376</v>
      </c>
      <c r="B135" s="270">
        <v>376</v>
      </c>
      <c r="C135" s="270" t="s">
        <v>108</v>
      </c>
      <c r="D135" s="270" t="s">
        <v>451</v>
      </c>
      <c r="E135" s="270">
        <v>-1800</v>
      </c>
      <c r="F135" s="270">
        <v>-422919</v>
      </c>
      <c r="G135" s="270">
        <v>0</v>
      </c>
      <c r="H135" s="1112">
        <v>0</v>
      </c>
      <c r="I135" s="1112">
        <v>0</v>
      </c>
      <c r="J135" s="270">
        <v>0</v>
      </c>
      <c r="K135" s="270">
        <v>0</v>
      </c>
      <c r="L135" s="270">
        <v>47130</v>
      </c>
      <c r="M135" s="1112">
        <v>0</v>
      </c>
      <c r="N135" s="270">
        <v>0</v>
      </c>
      <c r="O135" s="270">
        <v>0</v>
      </c>
      <c r="P135" s="270">
        <v>0</v>
      </c>
      <c r="Q135" s="270">
        <v>0</v>
      </c>
      <c r="R135" s="270">
        <v>0</v>
      </c>
      <c r="S135" s="270">
        <v>0</v>
      </c>
      <c r="T135" s="270">
        <v>0</v>
      </c>
      <c r="U135" s="270">
        <v>33673901</v>
      </c>
      <c r="V135" s="270">
        <v>0</v>
      </c>
      <c r="W135" s="270">
        <v>0</v>
      </c>
      <c r="X135" s="270">
        <v>0</v>
      </c>
      <c r="Y135" s="270">
        <v>0</v>
      </c>
      <c r="Z135" s="270">
        <v>0</v>
      </c>
      <c r="AA135" s="270">
        <v>0</v>
      </c>
      <c r="AB135" s="270">
        <v>0</v>
      </c>
      <c r="AC135" s="270">
        <v>0</v>
      </c>
      <c r="AD135" s="270">
        <v>0</v>
      </c>
      <c r="AE135" s="1112">
        <v>0</v>
      </c>
      <c r="AF135" s="270">
        <v>0</v>
      </c>
      <c r="AG135" s="270">
        <v>0</v>
      </c>
      <c r="AH135" s="270">
        <v>0</v>
      </c>
      <c r="AI135" s="270">
        <v>0</v>
      </c>
      <c r="AJ135" s="1112">
        <v>0</v>
      </c>
      <c r="AK135" s="270">
        <v>0</v>
      </c>
      <c r="AL135" s="270">
        <v>0</v>
      </c>
      <c r="AM135" s="270">
        <v>0</v>
      </c>
      <c r="AN135" s="270">
        <v>0</v>
      </c>
      <c r="AO135" s="270">
        <v>0</v>
      </c>
      <c r="AP135" s="270">
        <v>0</v>
      </c>
      <c r="AQ135" s="270">
        <v>0</v>
      </c>
      <c r="AR135" s="270">
        <v>0</v>
      </c>
      <c r="AS135" s="270">
        <v>0</v>
      </c>
      <c r="AT135" s="270">
        <v>0</v>
      </c>
      <c r="AU135" s="270">
        <v>0</v>
      </c>
      <c r="AV135" s="270">
        <v>0</v>
      </c>
      <c r="AW135" s="1112">
        <v>0</v>
      </c>
      <c r="AX135" s="270">
        <v>0</v>
      </c>
      <c r="AY135" s="1112">
        <v>0</v>
      </c>
      <c r="AZ135" s="270">
        <v>0</v>
      </c>
      <c r="BA135" s="270">
        <v>-412464</v>
      </c>
      <c r="BB135" s="270">
        <v>1</v>
      </c>
      <c r="BC135" s="270">
        <v>0</v>
      </c>
      <c r="BD135" s="270">
        <v>0</v>
      </c>
      <c r="BE135" s="270">
        <v>0</v>
      </c>
      <c r="BF135" s="270">
        <v>0</v>
      </c>
      <c r="BG135" s="270">
        <v>0</v>
      </c>
      <c r="BH135" s="270">
        <v>0</v>
      </c>
      <c r="BI135" s="270">
        <v>-1</v>
      </c>
      <c r="BJ135" s="270">
        <v>0</v>
      </c>
      <c r="BK135" s="270">
        <v>0</v>
      </c>
      <c r="BL135" s="270">
        <v>0</v>
      </c>
      <c r="BM135" s="270">
        <v>0</v>
      </c>
      <c r="BN135" s="270">
        <v>0</v>
      </c>
      <c r="BO135" s="270">
        <v>0</v>
      </c>
      <c r="BP135" s="270">
        <v>-38503</v>
      </c>
      <c r="BQ135" s="1112">
        <v>0</v>
      </c>
      <c r="BR135" s="1112">
        <v>0</v>
      </c>
      <c r="BS135" s="1112">
        <v>0</v>
      </c>
      <c r="BT135" s="298">
        <v>0</v>
      </c>
      <c r="BU135" s="298">
        <v>0</v>
      </c>
      <c r="BV135" s="298">
        <v>0</v>
      </c>
      <c r="BW135" s="298">
        <v>22701</v>
      </c>
      <c r="BX135" s="298">
        <v>84047</v>
      </c>
      <c r="BY135" s="298">
        <v>0</v>
      </c>
      <c r="BZ135" s="298">
        <v>0</v>
      </c>
      <c r="CA135" s="298">
        <v>0</v>
      </c>
      <c r="CB135" s="298">
        <v>0</v>
      </c>
      <c r="CC135" s="298">
        <v>0</v>
      </c>
      <c r="CD135" s="298">
        <v>1</v>
      </c>
      <c r="CE135" s="298">
        <v>0</v>
      </c>
      <c r="CF135" s="298">
        <v>0</v>
      </c>
      <c r="CG135" s="298">
        <v>0</v>
      </c>
      <c r="CH135" s="298">
        <v>0</v>
      </c>
      <c r="CI135" s="298">
        <v>0</v>
      </c>
      <c r="CJ135" s="298">
        <v>0</v>
      </c>
      <c r="CK135" s="298">
        <v>0</v>
      </c>
      <c r="CL135" s="298">
        <v>0</v>
      </c>
      <c r="CM135" s="298">
        <v>0</v>
      </c>
      <c r="CN135" s="298">
        <v>195147</v>
      </c>
      <c r="CO135" s="298">
        <v>-112250</v>
      </c>
      <c r="CP135" s="298">
        <v>0</v>
      </c>
      <c r="CQ135" s="298">
        <v>0</v>
      </c>
    </row>
    <row r="136" spans="1:95" x14ac:dyDescent="0.3">
      <c r="A136" s="270">
        <v>377</v>
      </c>
      <c r="B136" s="270">
        <v>377</v>
      </c>
      <c r="C136" s="270" t="s">
        <v>109</v>
      </c>
      <c r="D136" s="270" t="s">
        <v>452</v>
      </c>
      <c r="E136" s="270">
        <v>0</v>
      </c>
      <c r="F136" s="270">
        <v>0</v>
      </c>
      <c r="G136" s="270">
        <v>0</v>
      </c>
      <c r="H136" s="270">
        <v>0</v>
      </c>
      <c r="I136" s="270">
        <v>0</v>
      </c>
      <c r="J136" s="270">
        <v>0</v>
      </c>
      <c r="K136" s="270">
        <v>0</v>
      </c>
      <c r="L136" s="270">
        <v>0</v>
      </c>
      <c r="M136" s="1112">
        <v>0</v>
      </c>
      <c r="N136" s="270">
        <v>0</v>
      </c>
      <c r="O136" s="270">
        <v>0</v>
      </c>
      <c r="P136" s="270">
        <v>0</v>
      </c>
      <c r="Q136" s="270">
        <v>0</v>
      </c>
      <c r="R136" s="270">
        <v>0</v>
      </c>
      <c r="S136" s="270">
        <v>0</v>
      </c>
      <c r="T136" s="270">
        <v>0</v>
      </c>
      <c r="U136" s="270">
        <v>28702334</v>
      </c>
      <c r="V136" s="270">
        <v>0</v>
      </c>
      <c r="W136" s="270">
        <v>0</v>
      </c>
      <c r="X136" s="270">
        <v>0</v>
      </c>
      <c r="Y136" s="1112">
        <v>0</v>
      </c>
      <c r="Z136" s="270">
        <v>0</v>
      </c>
      <c r="AA136" s="270">
        <v>0</v>
      </c>
      <c r="AB136" s="270">
        <v>0</v>
      </c>
      <c r="AC136" s="270">
        <v>0</v>
      </c>
      <c r="AD136" s="270">
        <v>0</v>
      </c>
      <c r="AE136" s="1112">
        <v>0</v>
      </c>
      <c r="AF136" s="270">
        <v>0</v>
      </c>
      <c r="AG136" s="270">
        <v>0</v>
      </c>
      <c r="AH136" s="270">
        <v>0</v>
      </c>
      <c r="AI136" s="270">
        <v>0</v>
      </c>
      <c r="AJ136" s="1112">
        <v>0</v>
      </c>
      <c r="AK136" s="1112">
        <v>0</v>
      </c>
      <c r="AL136" s="270">
        <v>0</v>
      </c>
      <c r="AM136" s="270">
        <v>0</v>
      </c>
      <c r="AN136" s="270">
        <v>0</v>
      </c>
      <c r="AO136" s="270">
        <v>0</v>
      </c>
      <c r="AP136" s="270">
        <v>1</v>
      </c>
      <c r="AQ136" s="270">
        <v>0</v>
      </c>
      <c r="AR136" s="270">
        <v>0</v>
      </c>
      <c r="AS136" s="270">
        <v>0</v>
      </c>
      <c r="AT136" s="270">
        <v>0</v>
      </c>
      <c r="AU136" s="270">
        <v>0</v>
      </c>
      <c r="AV136" s="270">
        <v>0</v>
      </c>
      <c r="AW136" s="270">
        <v>0</v>
      </c>
      <c r="AX136" s="270">
        <v>0</v>
      </c>
      <c r="AY136" s="1112">
        <v>0</v>
      </c>
      <c r="AZ136" s="270">
        <v>0</v>
      </c>
      <c r="BA136" s="270">
        <v>0</v>
      </c>
      <c r="BB136" s="270">
        <v>0</v>
      </c>
      <c r="BC136" s="270">
        <v>0</v>
      </c>
      <c r="BD136" s="270">
        <v>0</v>
      </c>
      <c r="BE136" s="270">
        <v>0</v>
      </c>
      <c r="BF136" s="270">
        <v>12204</v>
      </c>
      <c r="BG136" s="270">
        <v>0</v>
      </c>
      <c r="BH136" s="270">
        <v>0</v>
      </c>
      <c r="BI136" s="270">
        <v>0</v>
      </c>
      <c r="BJ136" s="270">
        <v>0</v>
      </c>
      <c r="BK136" s="270">
        <v>0</v>
      </c>
      <c r="BL136" s="270">
        <v>0</v>
      </c>
      <c r="BM136" s="270">
        <v>0</v>
      </c>
      <c r="BN136" s="270">
        <v>0</v>
      </c>
      <c r="BO136" s="270">
        <v>0</v>
      </c>
      <c r="BP136" s="270">
        <v>27823</v>
      </c>
      <c r="BQ136" s="270">
        <v>0</v>
      </c>
      <c r="BR136" s="1112">
        <v>0</v>
      </c>
      <c r="BS136" s="270">
        <v>0</v>
      </c>
      <c r="BT136" s="298">
        <v>0</v>
      </c>
      <c r="BU136" s="298">
        <v>0</v>
      </c>
      <c r="BV136" s="298">
        <v>0</v>
      </c>
      <c r="BW136" s="298">
        <v>-22701</v>
      </c>
      <c r="BX136" s="298">
        <v>0</v>
      </c>
      <c r="BY136" s="298">
        <v>0</v>
      </c>
      <c r="BZ136" s="298">
        <v>0</v>
      </c>
      <c r="CA136" s="298">
        <v>-283094</v>
      </c>
      <c r="CB136" s="298">
        <v>0</v>
      </c>
      <c r="CC136" s="298">
        <v>0</v>
      </c>
      <c r="CD136" s="298">
        <v>0</v>
      </c>
      <c r="CE136" s="298">
        <v>0</v>
      </c>
      <c r="CF136" s="298">
        <v>0</v>
      </c>
      <c r="CG136" s="298">
        <v>0</v>
      </c>
      <c r="CH136" s="298">
        <v>0</v>
      </c>
      <c r="CI136" s="298">
        <v>0</v>
      </c>
      <c r="CJ136" s="298">
        <v>0</v>
      </c>
      <c r="CK136" s="298">
        <v>0</v>
      </c>
      <c r="CL136" s="298">
        <v>0</v>
      </c>
      <c r="CM136" s="298">
        <v>0</v>
      </c>
      <c r="CN136" s="298">
        <v>0</v>
      </c>
      <c r="CO136" s="298">
        <v>0</v>
      </c>
      <c r="CP136" s="298">
        <v>0</v>
      </c>
      <c r="CQ136" s="298">
        <v>0</v>
      </c>
    </row>
    <row r="137" spans="1:95" x14ac:dyDescent="0.3">
      <c r="A137" s="270">
        <v>378</v>
      </c>
      <c r="B137" s="270">
        <v>378</v>
      </c>
      <c r="C137" s="270" t="s">
        <v>110</v>
      </c>
      <c r="D137" s="270" t="s">
        <v>453</v>
      </c>
      <c r="E137" s="270">
        <v>0</v>
      </c>
      <c r="F137" s="270">
        <v>0</v>
      </c>
      <c r="G137" s="270">
        <v>0</v>
      </c>
      <c r="H137" s="270">
        <v>0</v>
      </c>
      <c r="I137" s="270">
        <v>0</v>
      </c>
      <c r="J137" s="270">
        <v>0</v>
      </c>
      <c r="K137" s="270">
        <v>0</v>
      </c>
      <c r="L137" s="270">
        <v>0</v>
      </c>
      <c r="M137" s="1112">
        <v>0</v>
      </c>
      <c r="N137" s="270">
        <v>0</v>
      </c>
      <c r="O137" s="270">
        <v>0</v>
      </c>
      <c r="P137" s="270">
        <v>0</v>
      </c>
      <c r="Q137" s="270">
        <v>0</v>
      </c>
      <c r="R137" s="270">
        <v>0</v>
      </c>
      <c r="S137" s="270">
        <v>0</v>
      </c>
      <c r="T137" s="270">
        <v>0</v>
      </c>
      <c r="U137" s="270">
        <v>0</v>
      </c>
      <c r="V137" s="270">
        <v>0</v>
      </c>
      <c r="W137" s="270">
        <v>0</v>
      </c>
      <c r="X137" s="270">
        <v>0</v>
      </c>
      <c r="Y137" s="270">
        <v>0</v>
      </c>
      <c r="Z137" s="270">
        <v>0</v>
      </c>
      <c r="AA137" s="270">
        <v>0</v>
      </c>
      <c r="AB137" s="270">
        <v>0</v>
      </c>
      <c r="AC137" s="270">
        <v>0</v>
      </c>
      <c r="AD137" s="270">
        <v>0</v>
      </c>
      <c r="AE137" s="270">
        <v>0</v>
      </c>
      <c r="AF137" s="270">
        <v>0</v>
      </c>
      <c r="AG137" s="270">
        <v>0</v>
      </c>
      <c r="AH137" s="270">
        <v>0</v>
      </c>
      <c r="AI137" s="270">
        <v>0</v>
      </c>
      <c r="AJ137" s="1112">
        <v>0</v>
      </c>
      <c r="AK137" s="270">
        <v>0</v>
      </c>
      <c r="AL137" s="270">
        <v>0</v>
      </c>
      <c r="AM137" s="270">
        <v>0</v>
      </c>
      <c r="AN137" s="270">
        <v>0</v>
      </c>
      <c r="AO137" s="270">
        <v>0</v>
      </c>
      <c r="AP137" s="270">
        <v>0</v>
      </c>
      <c r="AQ137" s="270">
        <v>0</v>
      </c>
      <c r="AR137" s="270">
        <v>0</v>
      </c>
      <c r="AS137" s="270">
        <v>0</v>
      </c>
      <c r="AT137" s="270">
        <v>0</v>
      </c>
      <c r="AU137" s="270">
        <v>0</v>
      </c>
      <c r="AV137" s="270">
        <v>0</v>
      </c>
      <c r="AW137" s="270">
        <v>0</v>
      </c>
      <c r="AX137" s="270">
        <v>0</v>
      </c>
      <c r="AY137" s="270">
        <v>0</v>
      </c>
      <c r="AZ137" s="270">
        <v>0</v>
      </c>
      <c r="BA137" s="270">
        <v>0</v>
      </c>
      <c r="BB137" s="270">
        <v>0</v>
      </c>
      <c r="BC137" s="270">
        <v>0</v>
      </c>
      <c r="BD137" s="270">
        <v>0</v>
      </c>
      <c r="BE137" s="270">
        <v>0</v>
      </c>
      <c r="BF137" s="270">
        <v>0</v>
      </c>
      <c r="BG137" s="270">
        <v>0</v>
      </c>
      <c r="BH137" s="270">
        <v>0</v>
      </c>
      <c r="BI137" s="270">
        <v>0</v>
      </c>
      <c r="BJ137" s="270">
        <v>0</v>
      </c>
      <c r="BK137" s="270">
        <v>0</v>
      </c>
      <c r="BL137" s="270">
        <v>0</v>
      </c>
      <c r="BM137" s="270">
        <v>0</v>
      </c>
      <c r="BN137" s="270">
        <v>0</v>
      </c>
      <c r="BO137" s="270">
        <v>0</v>
      </c>
      <c r="BP137" s="270">
        <v>0</v>
      </c>
      <c r="BQ137" s="270">
        <v>0</v>
      </c>
      <c r="BR137" s="270">
        <v>0</v>
      </c>
      <c r="BS137" s="270">
        <v>0</v>
      </c>
      <c r="BT137" s="298">
        <v>0</v>
      </c>
      <c r="BU137" s="298">
        <v>0</v>
      </c>
      <c r="BV137" s="298">
        <v>0</v>
      </c>
      <c r="BW137" s="298">
        <v>0</v>
      </c>
      <c r="BX137" s="298">
        <v>0</v>
      </c>
      <c r="BY137" s="298">
        <v>0</v>
      </c>
      <c r="BZ137" s="298">
        <v>0</v>
      </c>
      <c r="CA137" s="298">
        <v>0</v>
      </c>
      <c r="CB137" s="298">
        <v>0</v>
      </c>
      <c r="CC137" s="298">
        <v>0</v>
      </c>
      <c r="CD137" s="298">
        <v>0</v>
      </c>
      <c r="CE137" s="298">
        <v>0</v>
      </c>
      <c r="CF137" s="298">
        <v>0</v>
      </c>
      <c r="CG137" s="298">
        <v>0</v>
      </c>
      <c r="CH137" s="298">
        <v>0</v>
      </c>
      <c r="CI137" s="298">
        <v>0</v>
      </c>
      <c r="CJ137" s="298">
        <v>0</v>
      </c>
      <c r="CK137" s="298">
        <v>0</v>
      </c>
      <c r="CL137" s="298">
        <v>0</v>
      </c>
      <c r="CM137" s="298">
        <v>0</v>
      </c>
      <c r="CN137" s="298">
        <v>0</v>
      </c>
      <c r="CO137" s="298">
        <v>0</v>
      </c>
      <c r="CP137" s="298">
        <v>0</v>
      </c>
      <c r="CQ137" s="298">
        <v>0</v>
      </c>
    </row>
    <row r="138" spans="1:95" x14ac:dyDescent="0.3">
      <c r="A138" s="270">
        <v>379</v>
      </c>
      <c r="B138" s="270">
        <v>379</v>
      </c>
      <c r="C138" s="270" t="s">
        <v>118</v>
      </c>
      <c r="D138" s="270" t="s">
        <v>454</v>
      </c>
      <c r="E138" s="1112">
        <v>739334</v>
      </c>
      <c r="F138" s="1112">
        <v>9857850</v>
      </c>
      <c r="G138" s="1112">
        <v>1089752</v>
      </c>
      <c r="H138" s="1112">
        <v>1525196</v>
      </c>
      <c r="I138" s="1112">
        <v>733071</v>
      </c>
      <c r="J138" s="1112">
        <v>979631</v>
      </c>
      <c r="K138" s="1112">
        <v>23079669</v>
      </c>
      <c r="L138" s="1112">
        <v>575566</v>
      </c>
      <c r="M138" s="1112">
        <v>471679</v>
      </c>
      <c r="N138" s="1112">
        <v>3181565</v>
      </c>
      <c r="O138" s="1112">
        <v>951750</v>
      </c>
      <c r="P138" s="1112">
        <v>317971</v>
      </c>
      <c r="Q138" s="1112">
        <v>377642</v>
      </c>
      <c r="R138" s="1112">
        <v>1240198</v>
      </c>
      <c r="S138" s="270">
        <v>7133625</v>
      </c>
      <c r="T138" s="1112">
        <v>7922165</v>
      </c>
      <c r="U138" s="1112">
        <v>9117235</v>
      </c>
      <c r="V138" s="1112">
        <v>3336021</v>
      </c>
      <c r="W138" s="1112">
        <v>3683899</v>
      </c>
      <c r="X138" s="1112">
        <v>5367317</v>
      </c>
      <c r="Y138" s="1112">
        <v>2557238</v>
      </c>
      <c r="Z138" s="1112">
        <v>100054</v>
      </c>
      <c r="AA138" s="1112">
        <v>5417956</v>
      </c>
      <c r="AB138" s="1112">
        <v>1034639</v>
      </c>
      <c r="AC138" s="1112">
        <v>1051640</v>
      </c>
      <c r="AD138" s="1112">
        <v>678440</v>
      </c>
      <c r="AE138" s="1112">
        <v>15435447</v>
      </c>
      <c r="AF138" s="1112">
        <v>2258041</v>
      </c>
      <c r="AG138" s="1112">
        <v>2942149</v>
      </c>
      <c r="AH138" s="1112">
        <v>2836857</v>
      </c>
      <c r="AI138" s="1112">
        <v>962756</v>
      </c>
      <c r="AJ138" s="1112">
        <v>8821913</v>
      </c>
      <c r="AK138" s="1112">
        <v>2264903</v>
      </c>
      <c r="AL138" s="270">
        <v>2245267</v>
      </c>
      <c r="AM138" s="1112">
        <v>0</v>
      </c>
      <c r="AN138" s="1112">
        <v>158648</v>
      </c>
      <c r="AO138" s="1112">
        <v>2976762</v>
      </c>
      <c r="AP138" s="1112">
        <v>4479555</v>
      </c>
      <c r="AQ138" s="1112">
        <v>872801</v>
      </c>
      <c r="AR138" s="1112">
        <v>368617</v>
      </c>
      <c r="AS138" s="1112">
        <v>1678021</v>
      </c>
      <c r="AT138" s="1112">
        <v>583554</v>
      </c>
      <c r="AU138" s="1112">
        <v>213385</v>
      </c>
      <c r="AV138" s="270">
        <v>250566</v>
      </c>
      <c r="AW138" s="1112">
        <v>4111488</v>
      </c>
      <c r="AX138" s="1112">
        <v>1034646</v>
      </c>
      <c r="AY138" s="1112">
        <v>20450421</v>
      </c>
      <c r="AZ138" s="1112">
        <v>4973154</v>
      </c>
      <c r="BA138" s="1112">
        <v>2848556</v>
      </c>
      <c r="BB138" s="1112">
        <v>3124004</v>
      </c>
      <c r="BC138" s="1112">
        <v>1337010</v>
      </c>
      <c r="BD138" s="1112">
        <v>1100554</v>
      </c>
      <c r="BE138" s="1112">
        <v>270815</v>
      </c>
      <c r="BF138" s="1112">
        <v>1097187</v>
      </c>
      <c r="BG138" s="1112">
        <v>2174019</v>
      </c>
      <c r="BH138" s="1112">
        <v>11642038</v>
      </c>
      <c r="BI138" s="1112">
        <v>505378</v>
      </c>
      <c r="BJ138" s="1112">
        <v>272051</v>
      </c>
      <c r="BK138" s="1112">
        <v>7852641</v>
      </c>
      <c r="BL138" s="1112">
        <v>9403402</v>
      </c>
      <c r="BM138" s="1112">
        <v>8672799</v>
      </c>
      <c r="BN138" s="1112">
        <v>152995</v>
      </c>
      <c r="BO138" s="1112">
        <v>3357712</v>
      </c>
      <c r="BP138" s="1112">
        <v>2343856</v>
      </c>
      <c r="BQ138" s="1112">
        <v>10046662</v>
      </c>
      <c r="BR138" s="1112">
        <v>1883667</v>
      </c>
      <c r="BS138" s="1112">
        <v>1197270</v>
      </c>
      <c r="BT138" s="298">
        <v>2253160</v>
      </c>
      <c r="BU138" s="298">
        <v>2690756</v>
      </c>
      <c r="BV138" s="298">
        <v>678993</v>
      </c>
      <c r="BW138" s="298">
        <v>1007724</v>
      </c>
      <c r="BX138" s="298">
        <v>4157820</v>
      </c>
      <c r="BY138" s="298">
        <v>630931</v>
      </c>
      <c r="BZ138" s="298">
        <v>0</v>
      </c>
      <c r="CA138" s="298">
        <v>5646145</v>
      </c>
      <c r="CB138" s="298">
        <v>71260491</v>
      </c>
      <c r="CC138" s="298">
        <v>29827736</v>
      </c>
      <c r="CD138" s="298">
        <v>1250385</v>
      </c>
      <c r="CE138" s="298">
        <v>2946703</v>
      </c>
      <c r="CF138" s="298">
        <v>319238</v>
      </c>
      <c r="CG138" s="298">
        <v>1212010</v>
      </c>
      <c r="CH138" s="298">
        <v>61819162</v>
      </c>
      <c r="CI138" s="298">
        <v>10683274</v>
      </c>
      <c r="CJ138" s="298">
        <v>1235876</v>
      </c>
      <c r="CK138" s="298">
        <v>3094795</v>
      </c>
      <c r="CL138" s="298">
        <v>1071813</v>
      </c>
      <c r="CM138" s="298">
        <v>13412644</v>
      </c>
      <c r="CN138" s="298">
        <v>2958175</v>
      </c>
      <c r="CO138" s="298">
        <v>1931727</v>
      </c>
      <c r="CP138" s="298">
        <v>2148522</v>
      </c>
      <c r="CQ138" s="298">
        <v>11526633</v>
      </c>
    </row>
    <row r="139" spans="1:95" x14ac:dyDescent="0.3">
      <c r="A139" s="270">
        <v>380</v>
      </c>
      <c r="B139" s="270">
        <v>380</v>
      </c>
      <c r="C139" s="270" t="s">
        <v>121</v>
      </c>
      <c r="D139" s="270" t="s">
        <v>455</v>
      </c>
      <c r="E139" s="1112">
        <v>1544</v>
      </c>
      <c r="F139" s="1112">
        <v>18316</v>
      </c>
      <c r="G139" s="1112">
        <v>119867</v>
      </c>
      <c r="H139" s="1112">
        <v>16184</v>
      </c>
      <c r="I139" s="1112">
        <v>42726</v>
      </c>
      <c r="J139" s="1112">
        <v>41238</v>
      </c>
      <c r="K139" s="1112">
        <v>246702</v>
      </c>
      <c r="L139" s="1112">
        <v>1615</v>
      </c>
      <c r="M139" s="1112">
        <v>1967</v>
      </c>
      <c r="N139" s="270">
        <v>0</v>
      </c>
      <c r="O139" s="1112">
        <v>10124</v>
      </c>
      <c r="P139" s="1112">
        <v>1760</v>
      </c>
      <c r="Q139" s="1112">
        <v>5068</v>
      </c>
      <c r="R139" s="1112">
        <v>17506</v>
      </c>
      <c r="S139" s="270">
        <v>1173</v>
      </c>
      <c r="T139" s="1112">
        <v>26530</v>
      </c>
      <c r="U139" s="1112">
        <v>221566</v>
      </c>
      <c r="V139" s="1112">
        <v>27683</v>
      </c>
      <c r="W139" s="1112">
        <v>0</v>
      </c>
      <c r="X139" s="1112">
        <v>67774</v>
      </c>
      <c r="Y139" s="1112">
        <v>74525</v>
      </c>
      <c r="Z139" s="1112">
        <v>5209</v>
      </c>
      <c r="AA139" s="1112">
        <v>336212</v>
      </c>
      <c r="AB139" s="1112">
        <v>23015</v>
      </c>
      <c r="AC139" s="1112">
        <v>3816</v>
      </c>
      <c r="AD139" s="1112">
        <v>13469</v>
      </c>
      <c r="AE139" s="1112">
        <v>926325</v>
      </c>
      <c r="AF139" s="1112">
        <v>0</v>
      </c>
      <c r="AG139" s="270">
        <v>6493</v>
      </c>
      <c r="AH139" s="1112">
        <v>235714</v>
      </c>
      <c r="AI139" s="1112">
        <v>7840</v>
      </c>
      <c r="AJ139" s="1112">
        <v>14374</v>
      </c>
      <c r="AK139" s="1112">
        <v>48272</v>
      </c>
      <c r="AL139" s="270">
        <v>184993</v>
      </c>
      <c r="AM139" s="1112">
        <v>0</v>
      </c>
      <c r="AN139" s="1112">
        <v>672</v>
      </c>
      <c r="AO139" s="1112">
        <v>9943</v>
      </c>
      <c r="AP139" s="1112">
        <v>212530</v>
      </c>
      <c r="AQ139" s="270">
        <v>18202</v>
      </c>
      <c r="AR139" s="1112">
        <v>7457</v>
      </c>
      <c r="AS139" s="1112">
        <v>1532</v>
      </c>
      <c r="AT139" s="1112">
        <v>5786</v>
      </c>
      <c r="AU139" s="1112">
        <v>13031</v>
      </c>
      <c r="AV139" s="270">
        <v>1452</v>
      </c>
      <c r="AW139" s="1112">
        <v>364466</v>
      </c>
      <c r="AX139" s="1112">
        <v>60357</v>
      </c>
      <c r="AY139" s="1112">
        <v>122963</v>
      </c>
      <c r="AZ139" s="270">
        <v>24615</v>
      </c>
      <c r="BA139" s="1112">
        <v>211610</v>
      </c>
      <c r="BB139" s="1112">
        <v>8696</v>
      </c>
      <c r="BC139" s="1112">
        <v>20192</v>
      </c>
      <c r="BD139" s="1112">
        <v>797</v>
      </c>
      <c r="BE139" s="1112">
        <v>1929</v>
      </c>
      <c r="BF139" s="1112">
        <v>30522</v>
      </c>
      <c r="BG139" s="1112">
        <v>106374</v>
      </c>
      <c r="BH139" s="1112">
        <v>237888</v>
      </c>
      <c r="BI139" s="1112">
        <v>3425</v>
      </c>
      <c r="BJ139" s="1112">
        <v>265</v>
      </c>
      <c r="BK139" s="1112">
        <v>81869</v>
      </c>
      <c r="BL139" s="1112">
        <v>537749</v>
      </c>
      <c r="BM139" s="1112">
        <v>10519</v>
      </c>
      <c r="BN139" s="1112">
        <v>577</v>
      </c>
      <c r="BO139" s="1112">
        <v>17083</v>
      </c>
      <c r="BP139" s="1112">
        <v>0</v>
      </c>
      <c r="BQ139" s="1112">
        <v>34920</v>
      </c>
      <c r="BR139" s="1112">
        <v>0</v>
      </c>
      <c r="BS139" s="1112">
        <v>533</v>
      </c>
      <c r="BT139" s="298">
        <v>40292</v>
      </c>
      <c r="BU139" s="298">
        <v>2629</v>
      </c>
      <c r="BV139" s="298">
        <v>84689</v>
      </c>
      <c r="BW139" s="298">
        <v>32372</v>
      </c>
      <c r="BX139" s="298">
        <v>30296</v>
      </c>
      <c r="BY139" s="298">
        <v>2428</v>
      </c>
      <c r="BZ139" s="298">
        <v>0</v>
      </c>
      <c r="CA139" s="298">
        <v>885400</v>
      </c>
      <c r="CB139" s="298">
        <v>2172381</v>
      </c>
      <c r="CC139" s="298">
        <v>2216190</v>
      </c>
      <c r="CD139" s="298">
        <v>587</v>
      </c>
      <c r="CE139" s="298">
        <v>53279</v>
      </c>
      <c r="CF139" s="298">
        <v>28757</v>
      </c>
      <c r="CG139" s="298">
        <v>6506</v>
      </c>
      <c r="CH139" s="298">
        <v>1258283</v>
      </c>
      <c r="CI139" s="298">
        <v>199598</v>
      </c>
      <c r="CJ139" s="298">
        <v>15744</v>
      </c>
      <c r="CK139" s="298">
        <v>7995</v>
      </c>
      <c r="CL139" s="298">
        <v>56779</v>
      </c>
      <c r="CM139" s="298">
        <v>25483</v>
      </c>
      <c r="CN139" s="298">
        <v>58523</v>
      </c>
      <c r="CO139" s="298">
        <v>25109</v>
      </c>
      <c r="CP139" s="298">
        <v>93409</v>
      </c>
      <c r="CQ139" s="298">
        <v>134442</v>
      </c>
    </row>
    <row r="140" spans="1:95" x14ac:dyDescent="0.3">
      <c r="A140" s="270">
        <v>381</v>
      </c>
      <c r="B140" s="270">
        <v>381</v>
      </c>
      <c r="C140" s="270" t="s">
        <v>113</v>
      </c>
      <c r="D140" s="270" t="s">
        <v>456</v>
      </c>
      <c r="E140" s="1112">
        <v>0</v>
      </c>
      <c r="F140" s="1112">
        <v>0</v>
      </c>
      <c r="G140" s="1112">
        <v>4404007</v>
      </c>
      <c r="H140" s="1112">
        <v>14684111</v>
      </c>
      <c r="I140" s="270">
        <v>9341984</v>
      </c>
      <c r="J140" s="1112">
        <v>1223584</v>
      </c>
      <c r="K140" s="1112">
        <v>87644585</v>
      </c>
      <c r="L140" s="1112">
        <v>4855553</v>
      </c>
      <c r="M140" s="1112">
        <v>0</v>
      </c>
      <c r="N140" s="270">
        <v>4542084</v>
      </c>
      <c r="O140" s="1112">
        <v>7250313</v>
      </c>
      <c r="P140" s="270">
        <v>0</v>
      </c>
      <c r="Q140" s="1112">
        <v>4521900</v>
      </c>
      <c r="R140" s="1112">
        <v>0</v>
      </c>
      <c r="S140" s="270">
        <v>0</v>
      </c>
      <c r="T140" s="1112">
        <v>0</v>
      </c>
      <c r="U140" s="1112">
        <v>47776048</v>
      </c>
      <c r="V140" s="1112">
        <v>0</v>
      </c>
      <c r="W140" s="1112">
        <v>4372964</v>
      </c>
      <c r="X140" s="1112">
        <v>0</v>
      </c>
      <c r="Y140" s="1112">
        <v>12246038</v>
      </c>
      <c r="Z140" s="270">
        <v>0</v>
      </c>
      <c r="AA140" s="1112">
        <v>15755496</v>
      </c>
      <c r="AB140" s="1112">
        <v>17019394</v>
      </c>
      <c r="AC140" s="1112">
        <v>656617</v>
      </c>
      <c r="AD140" s="1112">
        <v>2655028</v>
      </c>
      <c r="AE140" s="1112">
        <v>54683951</v>
      </c>
      <c r="AF140" s="270">
        <v>0</v>
      </c>
      <c r="AG140" s="270">
        <v>7724769</v>
      </c>
      <c r="AH140" s="1112">
        <v>0</v>
      </c>
      <c r="AI140" s="1112">
        <v>7738571</v>
      </c>
      <c r="AJ140" s="1112">
        <v>26888360</v>
      </c>
      <c r="AK140" s="1112">
        <v>16620510</v>
      </c>
      <c r="AL140" s="270">
        <v>8895498</v>
      </c>
      <c r="AM140" s="270">
        <v>0</v>
      </c>
      <c r="AN140" s="1112">
        <v>202337</v>
      </c>
      <c r="AO140" s="1112">
        <v>0</v>
      </c>
      <c r="AP140" s="1112">
        <v>23411263</v>
      </c>
      <c r="AQ140" s="270">
        <v>3983342</v>
      </c>
      <c r="AR140" s="1112">
        <v>0</v>
      </c>
      <c r="AS140" s="1112">
        <v>0</v>
      </c>
      <c r="AT140" s="1112">
        <v>0</v>
      </c>
      <c r="AU140" s="1112">
        <v>0</v>
      </c>
      <c r="AV140" s="270">
        <v>689006</v>
      </c>
      <c r="AW140" s="1112">
        <v>14505952</v>
      </c>
      <c r="AX140" s="1112">
        <v>3594274</v>
      </c>
      <c r="AY140" s="1112">
        <v>0</v>
      </c>
      <c r="AZ140" s="1112">
        <v>456225</v>
      </c>
      <c r="BA140" s="270">
        <v>19887586</v>
      </c>
      <c r="BB140" s="1112">
        <v>0</v>
      </c>
      <c r="BC140" s="1112">
        <v>5072944</v>
      </c>
      <c r="BD140" s="270">
        <v>3019993</v>
      </c>
      <c r="BE140" s="1112">
        <v>1621588</v>
      </c>
      <c r="BF140" s="1112">
        <v>8911469</v>
      </c>
      <c r="BG140" s="1112">
        <v>18445399</v>
      </c>
      <c r="BH140" s="1112">
        <v>41062888</v>
      </c>
      <c r="BI140" s="1112">
        <v>0</v>
      </c>
      <c r="BJ140" s="1112">
        <v>0</v>
      </c>
      <c r="BK140" s="1112">
        <v>0</v>
      </c>
      <c r="BL140" s="270">
        <v>25966962</v>
      </c>
      <c r="BM140" s="1112">
        <v>12431043</v>
      </c>
      <c r="BN140" s="1112">
        <v>0</v>
      </c>
      <c r="BO140" s="1112">
        <v>0</v>
      </c>
      <c r="BP140" s="1112">
        <v>9365807</v>
      </c>
      <c r="BQ140" s="1112">
        <v>0</v>
      </c>
      <c r="BR140" s="1112">
        <v>0</v>
      </c>
      <c r="BS140" s="270">
        <v>0</v>
      </c>
      <c r="BT140" s="298">
        <v>11432345</v>
      </c>
      <c r="BU140" s="298">
        <v>0</v>
      </c>
      <c r="BV140" s="298">
        <v>2730325</v>
      </c>
      <c r="BW140" s="298">
        <v>6233437</v>
      </c>
      <c r="BX140" s="298">
        <v>18699220</v>
      </c>
      <c r="BY140" s="298">
        <v>714181</v>
      </c>
      <c r="BZ140" s="298">
        <v>0</v>
      </c>
      <c r="CA140" s="298">
        <v>23019998</v>
      </c>
      <c r="CB140" s="298">
        <v>0</v>
      </c>
      <c r="CC140" s="298">
        <v>165860817</v>
      </c>
      <c r="CD140" s="298">
        <v>5991883</v>
      </c>
      <c r="CE140" s="298">
        <v>8053691</v>
      </c>
      <c r="CF140" s="298">
        <v>5137017</v>
      </c>
      <c r="CG140" s="298">
        <v>10865025</v>
      </c>
      <c r="CH140" s="298">
        <v>1096681000</v>
      </c>
      <c r="CI140" s="298">
        <v>10256102</v>
      </c>
      <c r="CJ140" s="298">
        <v>4550919</v>
      </c>
      <c r="CK140" s="298">
        <v>0</v>
      </c>
      <c r="CL140" s="298">
        <v>2422942</v>
      </c>
      <c r="CM140" s="298">
        <v>12846331</v>
      </c>
      <c r="CN140" s="298">
        <v>15433021</v>
      </c>
      <c r="CO140" s="298">
        <v>11622405</v>
      </c>
      <c r="CP140" s="298">
        <v>0</v>
      </c>
      <c r="CQ140" s="298">
        <v>0</v>
      </c>
    </row>
    <row r="141" spans="1:95" x14ac:dyDescent="0.3">
      <c r="A141" s="270">
        <v>382</v>
      </c>
      <c r="B141" s="270">
        <v>382</v>
      </c>
      <c r="C141" s="270" t="s">
        <v>114</v>
      </c>
      <c r="D141" s="270" t="s">
        <v>457</v>
      </c>
      <c r="E141" s="270">
        <v>0</v>
      </c>
      <c r="F141" s="270">
        <v>0</v>
      </c>
      <c r="G141" s="270">
        <v>0</v>
      </c>
      <c r="H141" s="1112">
        <v>0</v>
      </c>
      <c r="I141" s="270">
        <v>4681963</v>
      </c>
      <c r="J141" s="270">
        <v>0</v>
      </c>
      <c r="K141" s="270">
        <v>65076970</v>
      </c>
      <c r="L141" s="270">
        <v>0</v>
      </c>
      <c r="M141" s="1112">
        <v>0</v>
      </c>
      <c r="N141" s="270">
        <v>0</v>
      </c>
      <c r="O141" s="270">
        <v>0</v>
      </c>
      <c r="P141" s="270">
        <v>0</v>
      </c>
      <c r="Q141" s="270">
        <v>0</v>
      </c>
      <c r="R141" s="270">
        <v>0</v>
      </c>
      <c r="S141" s="270">
        <v>0</v>
      </c>
      <c r="T141" s="270">
        <v>0</v>
      </c>
      <c r="U141" s="270">
        <v>0</v>
      </c>
      <c r="V141" s="270">
        <v>0</v>
      </c>
      <c r="W141" s="270">
        <v>0</v>
      </c>
      <c r="X141" s="270">
        <v>0</v>
      </c>
      <c r="Y141" s="1112">
        <v>0</v>
      </c>
      <c r="Z141" s="270">
        <v>0</v>
      </c>
      <c r="AA141" s="270">
        <v>36047449</v>
      </c>
      <c r="AB141" s="270">
        <v>0</v>
      </c>
      <c r="AC141" s="270">
        <v>0</v>
      </c>
      <c r="AD141" s="270">
        <v>0</v>
      </c>
      <c r="AE141" s="270">
        <v>0</v>
      </c>
      <c r="AF141" s="270">
        <v>0</v>
      </c>
      <c r="AG141" s="270">
        <v>0</v>
      </c>
      <c r="AH141" s="270">
        <v>0</v>
      </c>
      <c r="AI141" s="270">
        <v>0</v>
      </c>
      <c r="AJ141" s="1112">
        <v>0</v>
      </c>
      <c r="AK141" s="270">
        <v>0</v>
      </c>
      <c r="AL141" s="270">
        <v>0</v>
      </c>
      <c r="AM141" s="270">
        <v>0</v>
      </c>
      <c r="AN141" s="1112">
        <v>0</v>
      </c>
      <c r="AO141" s="270">
        <v>0</v>
      </c>
      <c r="AP141" s="270">
        <v>0</v>
      </c>
      <c r="AQ141" s="270">
        <v>0</v>
      </c>
      <c r="AR141" s="270">
        <v>0</v>
      </c>
      <c r="AS141" s="270">
        <v>0</v>
      </c>
      <c r="AT141" s="270">
        <v>0</v>
      </c>
      <c r="AU141" s="270">
        <v>0</v>
      </c>
      <c r="AV141" s="270">
        <v>0</v>
      </c>
      <c r="AW141" s="270">
        <v>0</v>
      </c>
      <c r="AX141" s="270">
        <v>0</v>
      </c>
      <c r="AY141" s="270">
        <v>32731406</v>
      </c>
      <c r="AZ141" s="270">
        <v>0</v>
      </c>
      <c r="BA141" s="270">
        <v>0</v>
      </c>
      <c r="BB141" s="270">
        <v>0</v>
      </c>
      <c r="BC141" s="270">
        <v>0</v>
      </c>
      <c r="BD141" s="270">
        <v>0</v>
      </c>
      <c r="BE141" s="270">
        <v>480844</v>
      </c>
      <c r="BF141" s="270">
        <v>0</v>
      </c>
      <c r="BG141" s="270">
        <v>0</v>
      </c>
      <c r="BH141" s="1112">
        <v>53950959</v>
      </c>
      <c r="BI141" s="270">
        <v>0</v>
      </c>
      <c r="BJ141" s="270">
        <v>0</v>
      </c>
      <c r="BK141" s="270">
        <v>0</v>
      </c>
      <c r="BL141" s="270">
        <v>6895641</v>
      </c>
      <c r="BM141" s="270">
        <v>0</v>
      </c>
      <c r="BN141" s="270">
        <v>0</v>
      </c>
      <c r="BO141" s="270">
        <v>0</v>
      </c>
      <c r="BP141" s="270">
        <v>0</v>
      </c>
      <c r="BQ141" s="270">
        <v>0</v>
      </c>
      <c r="BR141" s="270">
        <v>0</v>
      </c>
      <c r="BS141" s="270">
        <v>0</v>
      </c>
      <c r="BT141" s="298">
        <v>0</v>
      </c>
      <c r="BU141" s="298">
        <v>0</v>
      </c>
      <c r="BV141" s="298">
        <v>0</v>
      </c>
      <c r="BW141" s="298">
        <v>0</v>
      </c>
      <c r="BX141" s="298">
        <v>0</v>
      </c>
      <c r="BY141" s="298">
        <v>0</v>
      </c>
      <c r="BZ141" s="298">
        <v>0</v>
      </c>
      <c r="CA141" s="298">
        <v>0</v>
      </c>
      <c r="CB141" s="298">
        <v>0</v>
      </c>
      <c r="CC141" s="298">
        <v>144770360</v>
      </c>
      <c r="CD141" s="298">
        <v>0</v>
      </c>
      <c r="CE141" s="298">
        <v>6971996</v>
      </c>
      <c r="CF141" s="298">
        <v>0</v>
      </c>
      <c r="CG141" s="298">
        <v>0</v>
      </c>
      <c r="CH141" s="298">
        <v>0</v>
      </c>
      <c r="CI141" s="298">
        <v>13329983</v>
      </c>
      <c r="CJ141" s="298">
        <v>0</v>
      </c>
      <c r="CK141" s="298">
        <v>0</v>
      </c>
      <c r="CL141" s="298">
        <v>0</v>
      </c>
      <c r="CM141" s="298">
        <v>0</v>
      </c>
      <c r="CN141" s="298">
        <v>0</v>
      </c>
      <c r="CO141" s="298">
        <v>0</v>
      </c>
      <c r="CP141" s="298">
        <v>0</v>
      </c>
      <c r="CQ141" s="298">
        <v>0</v>
      </c>
    </row>
    <row r="142" spans="1:95" x14ac:dyDescent="0.3">
      <c r="A142" s="270">
        <v>383</v>
      </c>
      <c r="B142" s="270">
        <v>383</v>
      </c>
      <c r="C142" s="270" t="s">
        <v>221</v>
      </c>
      <c r="D142" s="270" t="s">
        <v>458</v>
      </c>
      <c r="E142" s="270">
        <v>0</v>
      </c>
      <c r="F142" s="270">
        <v>0</v>
      </c>
      <c r="G142" s="270">
        <v>0</v>
      </c>
      <c r="H142" s="270">
        <v>0</v>
      </c>
      <c r="I142" s="270">
        <v>0</v>
      </c>
      <c r="J142" s="270">
        <v>0</v>
      </c>
      <c r="K142" s="270">
        <v>0</v>
      </c>
      <c r="L142" s="270">
        <v>0</v>
      </c>
      <c r="M142" s="270">
        <v>0</v>
      </c>
      <c r="N142" s="270">
        <v>0</v>
      </c>
      <c r="O142" s="270">
        <v>0</v>
      </c>
      <c r="P142" s="270">
        <v>0</v>
      </c>
      <c r="Q142" s="1112">
        <v>0</v>
      </c>
      <c r="R142" s="1112">
        <v>0</v>
      </c>
      <c r="S142" s="270">
        <v>0</v>
      </c>
      <c r="T142" s="270">
        <v>0</v>
      </c>
      <c r="U142" s="270">
        <v>0</v>
      </c>
      <c r="V142" s="270">
        <v>0</v>
      </c>
      <c r="W142" s="270">
        <v>0</v>
      </c>
      <c r="X142" s="270">
        <v>0</v>
      </c>
      <c r="Y142" s="270">
        <v>0</v>
      </c>
      <c r="Z142" s="270">
        <v>0</v>
      </c>
      <c r="AA142" s="270">
        <v>0</v>
      </c>
      <c r="AB142" s="270">
        <v>0</v>
      </c>
      <c r="AC142" s="270">
        <v>0</v>
      </c>
      <c r="AD142" s="270">
        <v>0</v>
      </c>
      <c r="AE142" s="270">
        <v>41602</v>
      </c>
      <c r="AF142" s="270">
        <v>0</v>
      </c>
      <c r="AG142" s="270">
        <v>83935</v>
      </c>
      <c r="AH142" s="270">
        <v>0</v>
      </c>
      <c r="AI142" s="270">
        <v>0</v>
      </c>
      <c r="AJ142" s="270">
        <v>0</v>
      </c>
      <c r="AK142" s="270">
        <v>0</v>
      </c>
      <c r="AL142" s="270">
        <v>0</v>
      </c>
      <c r="AM142" s="270">
        <v>0</v>
      </c>
      <c r="AN142" s="270">
        <v>0</v>
      </c>
      <c r="AO142" s="270">
        <v>0</v>
      </c>
      <c r="AP142" s="270">
        <v>0</v>
      </c>
      <c r="AQ142" s="270">
        <v>0</v>
      </c>
      <c r="AR142" s="1112">
        <v>0</v>
      </c>
      <c r="AS142" s="270">
        <v>0</v>
      </c>
      <c r="AT142" s="270">
        <v>0</v>
      </c>
      <c r="AU142" s="270">
        <v>0</v>
      </c>
      <c r="AV142" s="270">
        <v>0</v>
      </c>
      <c r="AW142" s="270">
        <v>0</v>
      </c>
      <c r="AX142" s="270">
        <v>0</v>
      </c>
      <c r="AY142" s="270">
        <v>0</v>
      </c>
      <c r="AZ142" s="270">
        <v>0</v>
      </c>
      <c r="BA142" s="270">
        <v>0</v>
      </c>
      <c r="BB142" s="270">
        <v>0</v>
      </c>
      <c r="BC142" s="270">
        <v>0</v>
      </c>
      <c r="BD142" s="270">
        <v>0</v>
      </c>
      <c r="BE142" s="270">
        <v>0</v>
      </c>
      <c r="BF142" s="270">
        <v>0</v>
      </c>
      <c r="BG142" s="270">
        <v>0</v>
      </c>
      <c r="BH142" s="270">
        <v>0</v>
      </c>
      <c r="BI142" s="270">
        <v>0</v>
      </c>
      <c r="BJ142" s="1112">
        <v>0</v>
      </c>
      <c r="BK142" s="270">
        <v>0</v>
      </c>
      <c r="BL142" s="270">
        <v>0</v>
      </c>
      <c r="BM142" s="270">
        <v>0</v>
      </c>
      <c r="BN142" s="270">
        <v>0</v>
      </c>
      <c r="BO142" s="270">
        <v>0</v>
      </c>
      <c r="BP142" s="270">
        <v>0</v>
      </c>
      <c r="BQ142" s="270">
        <v>0</v>
      </c>
      <c r="BR142" s="1112">
        <v>0</v>
      </c>
      <c r="BS142" s="270">
        <v>0</v>
      </c>
      <c r="BT142" s="298">
        <v>0</v>
      </c>
      <c r="BU142" s="298">
        <v>0</v>
      </c>
      <c r="BV142" s="298">
        <v>0</v>
      </c>
      <c r="BW142" s="298">
        <v>0</v>
      </c>
      <c r="BX142" s="298">
        <v>0</v>
      </c>
      <c r="BY142" s="298">
        <v>0</v>
      </c>
      <c r="BZ142" s="298">
        <v>0</v>
      </c>
      <c r="CA142" s="298">
        <v>0</v>
      </c>
      <c r="CB142" s="298">
        <v>0</v>
      </c>
      <c r="CC142" s="298">
        <v>0</v>
      </c>
      <c r="CD142" s="298">
        <v>0</v>
      </c>
      <c r="CE142" s="298">
        <v>0</v>
      </c>
      <c r="CF142" s="298">
        <v>0</v>
      </c>
      <c r="CG142" s="298">
        <v>1399</v>
      </c>
      <c r="CH142" s="298">
        <v>1300</v>
      </c>
      <c r="CI142" s="298">
        <v>0</v>
      </c>
      <c r="CJ142" s="298">
        <v>0</v>
      </c>
      <c r="CK142" s="298">
        <v>0</v>
      </c>
      <c r="CL142" s="298">
        <v>0</v>
      </c>
      <c r="CM142" s="298">
        <v>0</v>
      </c>
      <c r="CN142" s="298">
        <v>0</v>
      </c>
      <c r="CO142" s="298">
        <v>0</v>
      </c>
      <c r="CP142" s="298">
        <v>0</v>
      </c>
      <c r="CQ142" s="298">
        <v>0</v>
      </c>
    </row>
    <row r="143" spans="1:95" x14ac:dyDescent="0.3">
      <c r="A143" s="270">
        <v>384</v>
      </c>
      <c r="B143" s="270">
        <v>384</v>
      </c>
      <c r="C143" s="270" t="s">
        <v>124</v>
      </c>
      <c r="D143" s="270" t="s">
        <v>459</v>
      </c>
      <c r="E143" s="270">
        <v>0</v>
      </c>
      <c r="F143" s="270">
        <v>0</v>
      </c>
      <c r="G143" s="270">
        <v>0</v>
      </c>
      <c r="H143" s="270">
        <v>0</v>
      </c>
      <c r="I143" s="270">
        <v>0</v>
      </c>
      <c r="J143" s="270">
        <v>0</v>
      </c>
      <c r="K143" s="270">
        <v>0</v>
      </c>
      <c r="L143" s="270">
        <v>0</v>
      </c>
      <c r="M143" s="270">
        <v>0</v>
      </c>
      <c r="N143" s="270">
        <v>0</v>
      </c>
      <c r="O143" s="270">
        <v>0</v>
      </c>
      <c r="P143" s="270">
        <v>0</v>
      </c>
      <c r="Q143" s="270">
        <v>0</v>
      </c>
      <c r="R143" s="270">
        <v>0</v>
      </c>
      <c r="S143" s="270">
        <v>0</v>
      </c>
      <c r="T143" s="270">
        <v>0</v>
      </c>
      <c r="U143" s="270">
        <v>0</v>
      </c>
      <c r="V143" s="270">
        <v>0</v>
      </c>
      <c r="W143" s="270">
        <v>0</v>
      </c>
      <c r="X143" s="270">
        <v>0</v>
      </c>
      <c r="Y143" s="270">
        <v>0</v>
      </c>
      <c r="Z143" s="270">
        <v>0</v>
      </c>
      <c r="AA143" s="270">
        <v>0</v>
      </c>
      <c r="AB143" s="270">
        <v>0</v>
      </c>
      <c r="AC143" s="270">
        <v>0</v>
      </c>
      <c r="AD143" s="270">
        <v>0</v>
      </c>
      <c r="AE143" s="270">
        <v>0</v>
      </c>
      <c r="AF143" s="270">
        <v>0</v>
      </c>
      <c r="AG143" s="270">
        <v>0</v>
      </c>
      <c r="AH143" s="270">
        <v>0</v>
      </c>
      <c r="AI143" s="270">
        <v>0</v>
      </c>
      <c r="AJ143" s="270">
        <v>0</v>
      </c>
      <c r="AK143" s="270">
        <v>0</v>
      </c>
      <c r="AL143" s="270">
        <v>0</v>
      </c>
      <c r="AM143" s="270">
        <v>0</v>
      </c>
      <c r="AN143" s="270">
        <v>0</v>
      </c>
      <c r="AO143" s="270">
        <v>0</v>
      </c>
      <c r="AP143" s="270">
        <v>0</v>
      </c>
      <c r="AQ143" s="270">
        <v>0</v>
      </c>
      <c r="AR143" s="270">
        <v>0</v>
      </c>
      <c r="AS143" s="270">
        <v>0</v>
      </c>
      <c r="AT143" s="270">
        <v>0</v>
      </c>
      <c r="AU143" s="270">
        <v>0</v>
      </c>
      <c r="AV143" s="270">
        <v>0</v>
      </c>
      <c r="AW143" s="270">
        <v>0</v>
      </c>
      <c r="AX143" s="270">
        <v>0</v>
      </c>
      <c r="AY143" s="270">
        <v>338242</v>
      </c>
      <c r="AZ143" s="270">
        <v>0</v>
      </c>
      <c r="BA143" s="270">
        <v>0</v>
      </c>
      <c r="BB143" s="270">
        <v>0</v>
      </c>
      <c r="BC143" s="270">
        <v>0</v>
      </c>
      <c r="BD143" s="270">
        <v>0</v>
      </c>
      <c r="BE143" s="270">
        <v>0</v>
      </c>
      <c r="BF143" s="270">
        <v>0</v>
      </c>
      <c r="BG143" s="270">
        <v>0</v>
      </c>
      <c r="BH143" s="270">
        <v>0</v>
      </c>
      <c r="BI143" s="270">
        <v>0</v>
      </c>
      <c r="BJ143" s="270">
        <v>0</v>
      </c>
      <c r="BK143" s="270">
        <v>0</v>
      </c>
      <c r="BL143" s="270">
        <v>0</v>
      </c>
      <c r="BM143" s="270">
        <v>0</v>
      </c>
      <c r="BN143" s="270">
        <v>0</v>
      </c>
      <c r="BO143" s="270">
        <v>0</v>
      </c>
      <c r="BP143" s="270">
        <v>0</v>
      </c>
      <c r="BQ143" s="270">
        <v>0</v>
      </c>
      <c r="BR143" s="270">
        <v>0</v>
      </c>
      <c r="BS143" s="270">
        <v>0</v>
      </c>
      <c r="BT143" s="298">
        <v>0</v>
      </c>
      <c r="BU143" s="298">
        <v>0</v>
      </c>
      <c r="BV143" s="298">
        <v>0</v>
      </c>
      <c r="BW143" s="298">
        <v>0</v>
      </c>
      <c r="BX143" s="298">
        <v>0</v>
      </c>
      <c r="BY143" s="298">
        <v>0</v>
      </c>
      <c r="BZ143" s="298">
        <v>0</v>
      </c>
      <c r="CA143" s="298">
        <v>0</v>
      </c>
      <c r="CB143" s="298">
        <v>0</v>
      </c>
      <c r="CC143" s="298">
        <v>0</v>
      </c>
      <c r="CD143" s="298">
        <v>0</v>
      </c>
      <c r="CE143" s="298">
        <v>0</v>
      </c>
      <c r="CF143" s="298">
        <v>0</v>
      </c>
      <c r="CG143" s="298">
        <v>0</v>
      </c>
      <c r="CH143" s="298">
        <v>0</v>
      </c>
      <c r="CI143" s="298">
        <v>0</v>
      </c>
      <c r="CJ143" s="298">
        <v>0</v>
      </c>
      <c r="CK143" s="298">
        <v>0</v>
      </c>
      <c r="CL143" s="298">
        <v>0</v>
      </c>
      <c r="CM143" s="298">
        <v>0</v>
      </c>
      <c r="CN143" s="298">
        <v>0</v>
      </c>
      <c r="CO143" s="298">
        <v>0</v>
      </c>
      <c r="CP143" s="298">
        <v>0</v>
      </c>
      <c r="CQ143" s="298">
        <v>0</v>
      </c>
    </row>
    <row r="144" spans="1:95" x14ac:dyDescent="0.3">
      <c r="A144" s="270">
        <v>385</v>
      </c>
      <c r="B144" s="270">
        <v>385</v>
      </c>
      <c r="C144" s="270" t="s">
        <v>115</v>
      </c>
      <c r="D144" s="270" t="s">
        <v>460</v>
      </c>
      <c r="E144" s="1112">
        <v>862817</v>
      </c>
      <c r="F144" s="1112">
        <v>27611325</v>
      </c>
      <c r="G144" s="1112">
        <v>2035184</v>
      </c>
      <c r="H144" s="1112">
        <v>7366630</v>
      </c>
      <c r="I144" s="1112">
        <v>2214433</v>
      </c>
      <c r="J144" s="1112">
        <v>2272003</v>
      </c>
      <c r="K144" s="1112">
        <v>84325135</v>
      </c>
      <c r="L144" s="1112">
        <v>1140037</v>
      </c>
      <c r="M144" s="1112">
        <v>853186</v>
      </c>
      <c r="N144" s="1112">
        <v>5326615</v>
      </c>
      <c r="O144" s="1112">
        <v>2002716</v>
      </c>
      <c r="P144" s="1112">
        <v>327086</v>
      </c>
      <c r="Q144" s="1112">
        <v>681580</v>
      </c>
      <c r="R144" s="1112">
        <v>4864389</v>
      </c>
      <c r="S144" s="270">
        <v>13652594</v>
      </c>
      <c r="T144" s="1112">
        <v>27748577</v>
      </c>
      <c r="U144" s="1112">
        <v>37797703</v>
      </c>
      <c r="V144" s="1112">
        <v>11255960</v>
      </c>
      <c r="W144" s="1112">
        <v>4004170</v>
      </c>
      <c r="X144" s="1112">
        <v>17615730</v>
      </c>
      <c r="Y144" s="1112">
        <v>7395945</v>
      </c>
      <c r="Z144" s="1112">
        <v>117254</v>
      </c>
      <c r="AA144" s="1112">
        <v>18760912</v>
      </c>
      <c r="AB144" s="1112">
        <v>2924880</v>
      </c>
      <c r="AC144" s="1112">
        <v>2019095</v>
      </c>
      <c r="AD144" s="1112">
        <v>905989</v>
      </c>
      <c r="AE144" s="1112">
        <v>46748342</v>
      </c>
      <c r="AF144" s="1112">
        <v>4237505</v>
      </c>
      <c r="AG144" s="1112">
        <v>14826930</v>
      </c>
      <c r="AH144" s="1112">
        <v>7791498</v>
      </c>
      <c r="AI144" s="1112">
        <v>1005579</v>
      </c>
      <c r="AJ144" s="1112">
        <v>11553257</v>
      </c>
      <c r="AK144" s="1112">
        <v>8953898</v>
      </c>
      <c r="AL144" s="270">
        <v>9040123</v>
      </c>
      <c r="AM144" s="1112">
        <v>0</v>
      </c>
      <c r="AN144" s="1112">
        <v>230445</v>
      </c>
      <c r="AO144" s="1112">
        <v>3067779</v>
      </c>
      <c r="AP144" s="1112">
        <v>13926079</v>
      </c>
      <c r="AQ144" s="1112">
        <v>1301117</v>
      </c>
      <c r="AR144" s="1112">
        <v>1583634</v>
      </c>
      <c r="AS144" s="1112">
        <v>2382463</v>
      </c>
      <c r="AT144" s="1112">
        <v>1362135</v>
      </c>
      <c r="AU144" s="1112">
        <v>281168</v>
      </c>
      <c r="AV144" s="270">
        <v>1151060</v>
      </c>
      <c r="AW144" s="1112">
        <v>9685116</v>
      </c>
      <c r="AX144" s="1112">
        <v>2876886</v>
      </c>
      <c r="AY144" s="1112">
        <v>297370623</v>
      </c>
      <c r="AZ144" s="1112">
        <v>9150444</v>
      </c>
      <c r="BA144" s="1112">
        <v>11110288</v>
      </c>
      <c r="BB144" s="1112">
        <v>6533938</v>
      </c>
      <c r="BC144" s="1112">
        <v>2596705</v>
      </c>
      <c r="BD144" s="1112">
        <v>4980626</v>
      </c>
      <c r="BE144" s="1112">
        <v>340089</v>
      </c>
      <c r="BF144" s="1112">
        <v>1536328</v>
      </c>
      <c r="BG144" s="1112">
        <v>5054916</v>
      </c>
      <c r="BH144" s="1112">
        <v>39584973</v>
      </c>
      <c r="BI144" s="1112">
        <v>560198</v>
      </c>
      <c r="BJ144" s="1112">
        <v>281863</v>
      </c>
      <c r="BK144" s="1112">
        <v>69184790</v>
      </c>
      <c r="BL144" s="1112">
        <v>34328928</v>
      </c>
      <c r="BM144" s="1112">
        <v>19534973</v>
      </c>
      <c r="BN144" s="1112">
        <v>349234</v>
      </c>
      <c r="BO144" s="1112">
        <v>5334765</v>
      </c>
      <c r="BP144" s="1112">
        <v>4143063</v>
      </c>
      <c r="BQ144" s="1112">
        <v>17067354</v>
      </c>
      <c r="BR144" s="1112">
        <v>5826267</v>
      </c>
      <c r="BS144" s="1112">
        <v>3787248</v>
      </c>
      <c r="BT144" s="298">
        <v>5667136</v>
      </c>
      <c r="BU144" s="298">
        <v>10246506</v>
      </c>
      <c r="BV144" s="298">
        <v>1060059</v>
      </c>
      <c r="BW144" s="298">
        <v>4686089</v>
      </c>
      <c r="BX144" s="298">
        <v>12558846</v>
      </c>
      <c r="BY144" s="298">
        <v>764517</v>
      </c>
      <c r="BZ144" s="298">
        <v>0</v>
      </c>
      <c r="CA144" s="298">
        <v>16038000</v>
      </c>
      <c r="CB144" s="298">
        <v>603149846</v>
      </c>
      <c r="CC144" s="298">
        <v>129252504</v>
      </c>
      <c r="CD144" s="298">
        <v>2391459</v>
      </c>
      <c r="CE144" s="298">
        <v>9571287</v>
      </c>
      <c r="CF144" s="298">
        <v>1048170</v>
      </c>
      <c r="CG144" s="298">
        <v>5840503</v>
      </c>
      <c r="CH144" s="298">
        <v>777052299</v>
      </c>
      <c r="CI144" s="298">
        <v>34987242</v>
      </c>
      <c r="CJ144" s="298">
        <v>1917388</v>
      </c>
      <c r="CK144" s="298">
        <v>6088278</v>
      </c>
      <c r="CL144" s="298">
        <v>1732464</v>
      </c>
      <c r="CM144" s="298">
        <v>31891854</v>
      </c>
      <c r="CN144" s="298">
        <v>8813746</v>
      </c>
      <c r="CO144" s="298">
        <v>5132805</v>
      </c>
      <c r="CP144" s="298">
        <v>4085643</v>
      </c>
      <c r="CQ144" s="298">
        <v>44185893</v>
      </c>
    </row>
    <row r="145" spans="1:95" x14ac:dyDescent="0.3">
      <c r="A145" s="270">
        <v>386</v>
      </c>
      <c r="B145" s="270">
        <v>386</v>
      </c>
      <c r="C145" s="270" t="s">
        <v>194</v>
      </c>
      <c r="D145" s="270" t="s">
        <v>461</v>
      </c>
      <c r="E145" s="270">
        <v>0</v>
      </c>
      <c r="F145" s="1112">
        <v>0</v>
      </c>
      <c r="G145" s="1112">
        <v>0</v>
      </c>
      <c r="H145" s="1112">
        <v>0</v>
      </c>
      <c r="I145" s="270">
        <v>280000</v>
      </c>
      <c r="J145" s="270">
        <v>0</v>
      </c>
      <c r="K145" s="1112">
        <v>0</v>
      </c>
      <c r="L145" s="1112">
        <v>0</v>
      </c>
      <c r="M145" s="270">
        <v>0</v>
      </c>
      <c r="N145" s="270">
        <v>75176</v>
      </c>
      <c r="O145" s="270">
        <v>24000</v>
      </c>
      <c r="P145" s="270">
        <v>0</v>
      </c>
      <c r="Q145" s="270">
        <v>0</v>
      </c>
      <c r="R145" s="270">
        <v>0</v>
      </c>
      <c r="S145" s="270">
        <v>0</v>
      </c>
      <c r="T145" s="270">
        <v>0</v>
      </c>
      <c r="U145" s="1112">
        <v>0</v>
      </c>
      <c r="V145" s="270">
        <v>57000</v>
      </c>
      <c r="W145" s="270">
        <v>0</v>
      </c>
      <c r="X145" s="270">
        <v>0</v>
      </c>
      <c r="Y145" s="1112">
        <v>0</v>
      </c>
      <c r="Z145" s="270">
        <v>0</v>
      </c>
      <c r="AA145" s="270">
        <v>1706391</v>
      </c>
      <c r="AB145" s="270">
        <v>0</v>
      </c>
      <c r="AC145" s="270">
        <v>0</v>
      </c>
      <c r="AD145" s="270">
        <v>0</v>
      </c>
      <c r="AE145" s="270">
        <v>0</v>
      </c>
      <c r="AF145" s="270">
        <v>0</v>
      </c>
      <c r="AG145" s="270">
        <v>0</v>
      </c>
      <c r="AH145" s="1112">
        <v>0</v>
      </c>
      <c r="AI145" s="270">
        <v>0</v>
      </c>
      <c r="AJ145" s="270">
        <v>0</v>
      </c>
      <c r="AK145" s="270">
        <v>0</v>
      </c>
      <c r="AL145" s="270">
        <v>0</v>
      </c>
      <c r="AM145" s="270">
        <v>0</v>
      </c>
      <c r="AN145" s="270">
        <v>0</v>
      </c>
      <c r="AO145" s="270">
        <v>0</v>
      </c>
      <c r="AP145" s="1112">
        <v>387000</v>
      </c>
      <c r="AQ145" s="270">
        <v>0</v>
      </c>
      <c r="AR145" s="270">
        <v>0</v>
      </c>
      <c r="AS145" s="270">
        <v>0</v>
      </c>
      <c r="AT145" s="270">
        <v>0</v>
      </c>
      <c r="AU145" s="270">
        <v>0</v>
      </c>
      <c r="AV145" s="270">
        <v>0</v>
      </c>
      <c r="AW145" s="270">
        <v>50000</v>
      </c>
      <c r="AX145" s="270">
        <v>20000</v>
      </c>
      <c r="AY145" s="270">
        <v>0</v>
      </c>
      <c r="AZ145" s="270">
        <v>504000</v>
      </c>
      <c r="BA145" s="270">
        <v>0</v>
      </c>
      <c r="BB145" s="270">
        <v>0</v>
      </c>
      <c r="BC145" s="270">
        <v>123881</v>
      </c>
      <c r="BD145" s="270">
        <v>0</v>
      </c>
      <c r="BE145" s="270">
        <v>0</v>
      </c>
      <c r="BF145" s="1112">
        <v>33062</v>
      </c>
      <c r="BG145" s="270">
        <v>0</v>
      </c>
      <c r="BH145" s="1112">
        <v>2608559</v>
      </c>
      <c r="BI145" s="270">
        <v>0</v>
      </c>
      <c r="BJ145" s="1112">
        <v>0</v>
      </c>
      <c r="BK145" s="270">
        <v>0</v>
      </c>
      <c r="BL145" s="270">
        <v>1275600</v>
      </c>
      <c r="BM145" s="270">
        <v>0</v>
      </c>
      <c r="BN145" s="270">
        <v>0</v>
      </c>
      <c r="BO145" s="270">
        <v>0</v>
      </c>
      <c r="BP145" s="270">
        <v>20766</v>
      </c>
      <c r="BQ145" s="1112">
        <v>0</v>
      </c>
      <c r="BR145" s="270">
        <v>0</v>
      </c>
      <c r="BS145" s="270">
        <v>0</v>
      </c>
      <c r="BT145" s="298">
        <v>0</v>
      </c>
      <c r="BU145" s="298">
        <v>0</v>
      </c>
      <c r="BV145" s="298">
        <v>0</v>
      </c>
      <c r="BW145" s="298">
        <v>0</v>
      </c>
      <c r="BX145" s="298">
        <v>0</v>
      </c>
      <c r="BY145" s="298">
        <v>0</v>
      </c>
      <c r="BZ145" s="298">
        <v>0</v>
      </c>
      <c r="CA145" s="298">
        <v>0</v>
      </c>
      <c r="CB145" s="298">
        <v>0</v>
      </c>
      <c r="CC145" s="298">
        <v>3675130</v>
      </c>
      <c r="CD145" s="298">
        <v>0</v>
      </c>
      <c r="CE145" s="298">
        <v>1000000</v>
      </c>
      <c r="CF145" s="298">
        <v>0</v>
      </c>
      <c r="CG145" s="298">
        <v>0</v>
      </c>
      <c r="CH145" s="298">
        <v>23011783</v>
      </c>
      <c r="CI145" s="298">
        <v>375578</v>
      </c>
      <c r="CJ145" s="298">
        <v>85193</v>
      </c>
      <c r="CK145" s="298">
        <v>0</v>
      </c>
      <c r="CL145" s="298">
        <v>0</v>
      </c>
      <c r="CM145" s="298">
        <v>2581958</v>
      </c>
      <c r="CN145" s="298">
        <v>0</v>
      </c>
      <c r="CO145" s="298">
        <v>0</v>
      </c>
      <c r="CP145" s="298">
        <v>0</v>
      </c>
      <c r="CQ145" s="298">
        <v>0</v>
      </c>
    </row>
    <row r="146" spans="1:95" x14ac:dyDescent="0.3">
      <c r="A146" s="270">
        <v>387</v>
      </c>
      <c r="B146" s="270">
        <v>387</v>
      </c>
      <c r="C146" s="270" t="s">
        <v>195</v>
      </c>
      <c r="D146" s="270" t="s">
        <v>462</v>
      </c>
      <c r="E146" s="270">
        <v>0</v>
      </c>
      <c r="F146" s="270">
        <v>0</v>
      </c>
      <c r="G146" s="270">
        <v>0</v>
      </c>
      <c r="H146" s="1112">
        <v>0</v>
      </c>
      <c r="I146" s="270">
        <v>0</v>
      </c>
      <c r="J146" s="270">
        <v>0</v>
      </c>
      <c r="K146" s="270">
        <v>116799</v>
      </c>
      <c r="L146" s="270">
        <v>0</v>
      </c>
      <c r="M146" s="270">
        <v>0</v>
      </c>
      <c r="N146" s="270">
        <v>0</v>
      </c>
      <c r="O146" s="270">
        <v>0</v>
      </c>
      <c r="P146" s="270">
        <v>0</v>
      </c>
      <c r="Q146" s="270">
        <v>10007</v>
      </c>
      <c r="R146" s="1112">
        <v>0</v>
      </c>
      <c r="S146" s="270">
        <v>0</v>
      </c>
      <c r="T146" s="270">
        <v>0</v>
      </c>
      <c r="U146" s="270">
        <v>0</v>
      </c>
      <c r="V146" s="270">
        <v>55500</v>
      </c>
      <c r="W146" s="270">
        <v>0</v>
      </c>
      <c r="X146" s="270">
        <v>0</v>
      </c>
      <c r="Y146" s="270">
        <v>16000</v>
      </c>
      <c r="Z146" s="270">
        <v>0</v>
      </c>
      <c r="AA146" s="270">
        <v>0</v>
      </c>
      <c r="AB146" s="270">
        <v>0</v>
      </c>
      <c r="AC146" s="270">
        <v>0</v>
      </c>
      <c r="AD146" s="270">
        <v>0</v>
      </c>
      <c r="AE146" s="270">
        <v>294576</v>
      </c>
      <c r="AF146" s="270">
        <v>0</v>
      </c>
      <c r="AG146" s="270">
        <v>0</v>
      </c>
      <c r="AH146" s="270">
        <v>0</v>
      </c>
      <c r="AI146" s="1112">
        <v>0</v>
      </c>
      <c r="AJ146" s="270">
        <v>1207238</v>
      </c>
      <c r="AK146" s="270">
        <v>0</v>
      </c>
      <c r="AL146" s="270">
        <v>0</v>
      </c>
      <c r="AM146" s="270">
        <v>0</v>
      </c>
      <c r="AN146" s="270">
        <v>0</v>
      </c>
      <c r="AO146" s="270">
        <v>0</v>
      </c>
      <c r="AP146" s="270">
        <v>0</v>
      </c>
      <c r="AQ146" s="270">
        <v>0</v>
      </c>
      <c r="AR146" s="270">
        <v>0</v>
      </c>
      <c r="AS146" s="270">
        <v>0</v>
      </c>
      <c r="AT146" s="270">
        <v>0</v>
      </c>
      <c r="AU146" s="1112">
        <v>0</v>
      </c>
      <c r="AV146" s="270">
        <v>0</v>
      </c>
      <c r="AW146" s="1112">
        <v>50000</v>
      </c>
      <c r="AX146" s="270">
        <v>0</v>
      </c>
      <c r="AY146" s="270">
        <v>0</v>
      </c>
      <c r="AZ146" s="270">
        <v>510476</v>
      </c>
      <c r="BA146" s="270">
        <v>0</v>
      </c>
      <c r="BB146" s="270">
        <v>0</v>
      </c>
      <c r="BC146" s="270">
        <v>0</v>
      </c>
      <c r="BD146" s="270">
        <v>0</v>
      </c>
      <c r="BE146" s="270">
        <v>0</v>
      </c>
      <c r="BF146" s="270">
        <v>0</v>
      </c>
      <c r="BG146" s="270">
        <v>0</v>
      </c>
      <c r="BH146" s="270">
        <v>1017229</v>
      </c>
      <c r="BI146" s="1112">
        <v>0</v>
      </c>
      <c r="BJ146" s="270">
        <v>0</v>
      </c>
      <c r="BK146" s="270">
        <v>0</v>
      </c>
      <c r="BL146" s="270">
        <v>0</v>
      </c>
      <c r="BM146" s="1112">
        <v>0</v>
      </c>
      <c r="BN146" s="1112">
        <v>0</v>
      </c>
      <c r="BO146" s="270">
        <v>0</v>
      </c>
      <c r="BP146" s="270">
        <v>0</v>
      </c>
      <c r="BQ146" s="270">
        <v>0</v>
      </c>
      <c r="BR146" s="270">
        <v>0</v>
      </c>
      <c r="BS146" s="270">
        <v>0</v>
      </c>
      <c r="BT146" s="298">
        <v>0</v>
      </c>
      <c r="BU146" s="298">
        <v>0</v>
      </c>
      <c r="BV146" s="298">
        <v>0</v>
      </c>
      <c r="BW146" s="298">
        <v>0</v>
      </c>
      <c r="BX146" s="298">
        <v>119900</v>
      </c>
      <c r="BY146" s="298">
        <v>0</v>
      </c>
      <c r="BZ146" s="298">
        <v>0</v>
      </c>
      <c r="CA146" s="298">
        <v>1112910</v>
      </c>
      <c r="CB146" s="298">
        <v>1151354</v>
      </c>
      <c r="CC146" s="298">
        <v>0</v>
      </c>
      <c r="CD146" s="298">
        <v>128529</v>
      </c>
      <c r="CE146" s="298">
        <v>0</v>
      </c>
      <c r="CF146" s="298">
        <v>0</v>
      </c>
      <c r="CG146" s="298">
        <v>0</v>
      </c>
      <c r="CH146" s="298">
        <v>22366455</v>
      </c>
      <c r="CI146" s="298">
        <v>0</v>
      </c>
      <c r="CJ146" s="298">
        <v>0</v>
      </c>
      <c r="CK146" s="298">
        <v>0</v>
      </c>
      <c r="CL146" s="298">
        <v>54276</v>
      </c>
      <c r="CM146" s="298">
        <v>2370808</v>
      </c>
      <c r="CN146" s="298">
        <v>0</v>
      </c>
      <c r="CO146" s="298">
        <v>0</v>
      </c>
      <c r="CP146" s="298">
        <v>0</v>
      </c>
      <c r="CQ146" s="298">
        <v>21462</v>
      </c>
    </row>
    <row r="147" spans="1:95" x14ac:dyDescent="0.3">
      <c r="A147" s="270">
        <v>388</v>
      </c>
      <c r="B147" s="270">
        <v>388</v>
      </c>
      <c r="C147" s="270" t="s">
        <v>189</v>
      </c>
      <c r="D147" s="270" t="s">
        <v>463</v>
      </c>
      <c r="E147" s="1112">
        <v>106946</v>
      </c>
      <c r="F147" s="1112">
        <v>9051738</v>
      </c>
      <c r="G147" s="1112">
        <v>894200</v>
      </c>
      <c r="H147" s="1112">
        <v>3646096</v>
      </c>
      <c r="I147" s="1112">
        <v>756522</v>
      </c>
      <c r="J147" s="1112">
        <v>597215</v>
      </c>
      <c r="K147" s="1112">
        <v>30143273</v>
      </c>
      <c r="L147" s="1112">
        <v>555600</v>
      </c>
      <c r="M147" s="1112">
        <v>526125</v>
      </c>
      <c r="N147" s="1112">
        <v>437515</v>
      </c>
      <c r="O147" s="1112">
        <v>1295573</v>
      </c>
      <c r="P147" s="1112">
        <v>101935</v>
      </c>
      <c r="Q147" s="1112">
        <v>242011</v>
      </c>
      <c r="R147" s="1112">
        <v>1714912</v>
      </c>
      <c r="S147" s="270">
        <v>1541447</v>
      </c>
      <c r="T147" s="1112">
        <v>6602871</v>
      </c>
      <c r="U147" s="1112">
        <v>13634902</v>
      </c>
      <c r="V147" s="1112">
        <v>5159450</v>
      </c>
      <c r="W147" s="1112">
        <v>204755</v>
      </c>
      <c r="X147" s="1112">
        <v>3292450</v>
      </c>
      <c r="Y147" s="1112">
        <v>2794209</v>
      </c>
      <c r="Z147" s="1112">
        <v>83808</v>
      </c>
      <c r="AA147" s="1112">
        <v>10816870</v>
      </c>
      <c r="AB147" s="1112">
        <v>1940189</v>
      </c>
      <c r="AC147" s="1112">
        <v>759645</v>
      </c>
      <c r="AD147" s="1112">
        <v>252524</v>
      </c>
      <c r="AE147" s="1112">
        <v>25289275</v>
      </c>
      <c r="AF147" s="1112">
        <v>790143</v>
      </c>
      <c r="AG147" s="1112">
        <v>7200071</v>
      </c>
      <c r="AH147" s="1112">
        <v>2182445</v>
      </c>
      <c r="AI147" s="1112">
        <v>94275</v>
      </c>
      <c r="AJ147" s="1112">
        <v>1713732</v>
      </c>
      <c r="AK147" s="1112">
        <v>3353094</v>
      </c>
      <c r="AL147" s="270">
        <v>3040692</v>
      </c>
      <c r="AM147" s="1112">
        <v>0</v>
      </c>
      <c r="AN147" s="1112">
        <v>170322</v>
      </c>
      <c r="AO147" s="1112">
        <v>399865</v>
      </c>
      <c r="AP147" s="1112">
        <v>5357557</v>
      </c>
      <c r="AQ147" s="1112">
        <v>786409</v>
      </c>
      <c r="AR147" s="1112">
        <v>96045</v>
      </c>
      <c r="AS147" s="1112">
        <v>196262</v>
      </c>
      <c r="AT147" s="1112">
        <v>846227</v>
      </c>
      <c r="AU147" s="1112">
        <v>89281</v>
      </c>
      <c r="AV147" s="270">
        <v>319259</v>
      </c>
      <c r="AW147" s="1112">
        <v>4400170</v>
      </c>
      <c r="AX147" s="1112">
        <v>404145</v>
      </c>
      <c r="AY147" s="1112">
        <v>47072067</v>
      </c>
      <c r="AZ147" s="1112">
        <v>1725593</v>
      </c>
      <c r="BA147" s="1112">
        <v>5845657</v>
      </c>
      <c r="BB147" s="1112">
        <v>568156</v>
      </c>
      <c r="BC147" s="1112">
        <v>851160</v>
      </c>
      <c r="BD147" s="1112">
        <v>1367222</v>
      </c>
      <c r="BE147" s="1112">
        <v>208750</v>
      </c>
      <c r="BF147" s="1112">
        <v>1317194</v>
      </c>
      <c r="BG147" s="1112">
        <v>2818163</v>
      </c>
      <c r="BH147" s="1112">
        <v>13379476</v>
      </c>
      <c r="BI147" s="1112">
        <v>275236</v>
      </c>
      <c r="BJ147" s="1112">
        <v>59144</v>
      </c>
      <c r="BK147" s="1112">
        <v>11463098</v>
      </c>
      <c r="BL147" s="1112">
        <v>14203262</v>
      </c>
      <c r="BM147" s="1112">
        <v>6389019</v>
      </c>
      <c r="BN147" s="1112">
        <v>91551</v>
      </c>
      <c r="BO147" s="1112">
        <v>1726123</v>
      </c>
      <c r="BP147" s="1112">
        <v>1913329</v>
      </c>
      <c r="BQ147" s="1112">
        <v>6158973</v>
      </c>
      <c r="BR147" s="1112">
        <v>549786</v>
      </c>
      <c r="BS147" s="1112">
        <v>658889</v>
      </c>
      <c r="BT147" s="298">
        <v>2498831</v>
      </c>
      <c r="BU147" s="298">
        <v>3201806</v>
      </c>
      <c r="BV147" s="298">
        <v>560660</v>
      </c>
      <c r="BW147" s="298">
        <v>1909081</v>
      </c>
      <c r="BX147" s="298">
        <v>6185805</v>
      </c>
      <c r="BY147" s="298">
        <v>149208</v>
      </c>
      <c r="BZ147" s="298">
        <v>0</v>
      </c>
      <c r="CA147" s="298">
        <v>6280235</v>
      </c>
      <c r="CB147" s="298">
        <v>156475393</v>
      </c>
      <c r="CC147" s="298">
        <v>52425360</v>
      </c>
      <c r="CD147" s="298">
        <v>1043578</v>
      </c>
      <c r="CE147" s="298">
        <v>5054125</v>
      </c>
      <c r="CF147" s="298">
        <v>491757</v>
      </c>
      <c r="CG147" s="298">
        <v>1683799</v>
      </c>
      <c r="CH147" s="298">
        <v>238542394</v>
      </c>
      <c r="CI147" s="298">
        <v>9649196</v>
      </c>
      <c r="CJ147" s="298">
        <v>547464</v>
      </c>
      <c r="CK147" s="298">
        <v>3919513</v>
      </c>
      <c r="CL147" s="298">
        <v>366644</v>
      </c>
      <c r="CM147" s="298">
        <v>10270816</v>
      </c>
      <c r="CN147" s="298">
        <v>2642195</v>
      </c>
      <c r="CO147" s="298">
        <v>742319</v>
      </c>
      <c r="CP147" s="298">
        <v>2027616</v>
      </c>
      <c r="CQ147" s="298">
        <v>10026485</v>
      </c>
    </row>
    <row r="148" spans="1:95" x14ac:dyDescent="0.3">
      <c r="A148" s="270">
        <v>389</v>
      </c>
      <c r="B148" s="270">
        <v>389</v>
      </c>
      <c r="C148" s="270" t="s">
        <v>196</v>
      </c>
      <c r="D148" s="270" t="s">
        <v>464</v>
      </c>
      <c r="E148" s="270">
        <v>0</v>
      </c>
      <c r="F148" s="270">
        <v>0</v>
      </c>
      <c r="G148" s="270">
        <v>0</v>
      </c>
      <c r="H148" s="270">
        <v>0</v>
      </c>
      <c r="I148" s="270">
        <v>0</v>
      </c>
      <c r="J148" s="270">
        <v>0</v>
      </c>
      <c r="K148" s="270">
        <v>0</v>
      </c>
      <c r="L148" s="270">
        <v>0</v>
      </c>
      <c r="M148" s="1112">
        <v>0</v>
      </c>
      <c r="N148" s="270">
        <v>0</v>
      </c>
      <c r="O148" s="270">
        <v>0</v>
      </c>
      <c r="P148" s="270">
        <v>0</v>
      </c>
      <c r="Q148" s="270">
        <v>0</v>
      </c>
      <c r="R148" s="270">
        <v>0</v>
      </c>
      <c r="S148" s="270">
        <v>0</v>
      </c>
      <c r="T148" s="270">
        <v>0</v>
      </c>
      <c r="U148" s="270">
        <v>0</v>
      </c>
      <c r="V148" s="270">
        <v>0</v>
      </c>
      <c r="W148" s="270">
        <v>0</v>
      </c>
      <c r="X148" s="270">
        <v>0</v>
      </c>
      <c r="Y148" s="270">
        <v>0</v>
      </c>
      <c r="Z148" s="270">
        <v>0</v>
      </c>
      <c r="AA148" s="270">
        <v>0</v>
      </c>
      <c r="AB148" s="270">
        <v>0</v>
      </c>
      <c r="AC148" s="270">
        <v>0</v>
      </c>
      <c r="AD148" s="270">
        <v>0</v>
      </c>
      <c r="AE148" s="270">
        <v>0</v>
      </c>
      <c r="AF148" s="270">
        <v>0</v>
      </c>
      <c r="AG148" s="270">
        <v>0</v>
      </c>
      <c r="AH148" s="270">
        <v>0</v>
      </c>
      <c r="AI148" s="270">
        <v>0</v>
      </c>
      <c r="AJ148" s="270">
        <v>0</v>
      </c>
      <c r="AK148" s="270">
        <v>0</v>
      </c>
      <c r="AL148" s="270">
        <v>0</v>
      </c>
      <c r="AM148" s="270">
        <v>0</v>
      </c>
      <c r="AN148" s="270">
        <v>0</v>
      </c>
      <c r="AO148" s="270">
        <v>0</v>
      </c>
      <c r="AP148" s="270">
        <v>1</v>
      </c>
      <c r="AQ148" s="270">
        <v>0</v>
      </c>
      <c r="AR148" s="270">
        <v>0</v>
      </c>
      <c r="AS148" s="270">
        <v>0</v>
      </c>
      <c r="AT148" s="270">
        <v>0</v>
      </c>
      <c r="AU148" s="270">
        <v>0</v>
      </c>
      <c r="AV148" s="270">
        <v>0</v>
      </c>
      <c r="AW148" s="270">
        <v>0</v>
      </c>
      <c r="AX148" s="270">
        <v>0</v>
      </c>
      <c r="AY148" s="270">
        <v>0</v>
      </c>
      <c r="AZ148" s="270">
        <v>0</v>
      </c>
      <c r="BA148" s="270">
        <v>0</v>
      </c>
      <c r="BB148" s="270">
        <v>0</v>
      </c>
      <c r="BC148" s="270">
        <v>0</v>
      </c>
      <c r="BD148" s="270">
        <v>0</v>
      </c>
      <c r="BE148" s="270">
        <v>0</v>
      </c>
      <c r="BF148" s="270">
        <v>0</v>
      </c>
      <c r="BG148" s="270">
        <v>0</v>
      </c>
      <c r="BH148" s="270">
        <v>0</v>
      </c>
      <c r="BI148" s="270">
        <v>0</v>
      </c>
      <c r="BJ148" s="270">
        <v>0</v>
      </c>
      <c r="BK148" s="270">
        <v>0</v>
      </c>
      <c r="BL148" s="270">
        <v>0</v>
      </c>
      <c r="BM148" s="270">
        <v>0</v>
      </c>
      <c r="BN148" s="270">
        <v>0</v>
      </c>
      <c r="BO148" s="270">
        <v>0</v>
      </c>
      <c r="BP148" s="1112">
        <v>0</v>
      </c>
      <c r="BQ148" s="270">
        <v>0</v>
      </c>
      <c r="BR148" s="270">
        <v>1613057</v>
      </c>
      <c r="BS148" s="270">
        <v>0</v>
      </c>
      <c r="BT148" s="298">
        <v>0</v>
      </c>
      <c r="BU148" s="298">
        <v>0</v>
      </c>
      <c r="BV148" s="298">
        <v>0</v>
      </c>
      <c r="BW148" s="298">
        <v>0</v>
      </c>
      <c r="BX148" s="298">
        <v>0</v>
      </c>
      <c r="BY148" s="298">
        <v>0</v>
      </c>
      <c r="BZ148" s="298">
        <v>0</v>
      </c>
      <c r="CA148" s="298">
        <v>0</v>
      </c>
      <c r="CB148" s="298">
        <v>0</v>
      </c>
      <c r="CC148" s="298">
        <v>0</v>
      </c>
      <c r="CD148" s="298">
        <v>0</v>
      </c>
      <c r="CE148" s="298">
        <v>0</v>
      </c>
      <c r="CF148" s="298">
        <v>0</v>
      </c>
      <c r="CG148" s="298">
        <v>-1452</v>
      </c>
      <c r="CH148" s="298">
        <v>0</v>
      </c>
      <c r="CI148" s="298">
        <v>0</v>
      </c>
      <c r="CJ148" s="298">
        <v>0</v>
      </c>
      <c r="CK148" s="298">
        <v>0</v>
      </c>
      <c r="CL148" s="298">
        <v>0</v>
      </c>
      <c r="CM148" s="298">
        <v>0</v>
      </c>
      <c r="CN148" s="298">
        <v>0</v>
      </c>
      <c r="CO148" s="298">
        <v>0</v>
      </c>
      <c r="CP148" s="298">
        <v>0</v>
      </c>
      <c r="CQ148" s="298">
        <v>0</v>
      </c>
    </row>
    <row r="149" spans="1:95" x14ac:dyDescent="0.3">
      <c r="A149" s="270">
        <v>391</v>
      </c>
      <c r="B149" s="270">
        <v>391</v>
      </c>
      <c r="C149" s="270" t="s">
        <v>201</v>
      </c>
      <c r="D149" s="270" t="s">
        <v>465</v>
      </c>
      <c r="E149" s="1112">
        <v>31469</v>
      </c>
      <c r="F149" s="1112">
        <v>462389</v>
      </c>
      <c r="G149" s="1112">
        <v>0</v>
      </c>
      <c r="H149" s="1112">
        <v>310380</v>
      </c>
      <c r="I149" s="270">
        <v>74067</v>
      </c>
      <c r="J149" s="1112">
        <v>205025</v>
      </c>
      <c r="K149" s="1112">
        <v>5115845</v>
      </c>
      <c r="L149" s="1112">
        <v>31030</v>
      </c>
      <c r="M149" s="1112">
        <v>42883</v>
      </c>
      <c r="N149" s="270">
        <v>96319</v>
      </c>
      <c r="O149" s="1112">
        <v>130579</v>
      </c>
      <c r="P149" s="1112">
        <v>0</v>
      </c>
      <c r="Q149" s="1112">
        <v>72098</v>
      </c>
      <c r="R149" s="1112">
        <v>69641</v>
      </c>
      <c r="S149" s="270">
        <v>162077</v>
      </c>
      <c r="T149" s="1112">
        <v>573796</v>
      </c>
      <c r="U149" s="1112">
        <v>945684</v>
      </c>
      <c r="V149" s="1112">
        <v>384702</v>
      </c>
      <c r="W149" s="1112">
        <v>96251</v>
      </c>
      <c r="X149" s="1112">
        <v>220023</v>
      </c>
      <c r="Y149" s="1112">
        <v>265719</v>
      </c>
      <c r="Z149" s="1112">
        <v>3067</v>
      </c>
      <c r="AA149" s="1112">
        <v>1265706</v>
      </c>
      <c r="AB149" s="1112">
        <v>148591</v>
      </c>
      <c r="AC149" s="1112">
        <v>371064</v>
      </c>
      <c r="AD149" s="1112">
        <v>38707</v>
      </c>
      <c r="AE149" s="1112">
        <v>4536257</v>
      </c>
      <c r="AF149" s="1112">
        <v>34944</v>
      </c>
      <c r="AG149" s="1112">
        <v>248303</v>
      </c>
      <c r="AH149" s="1112">
        <v>830377</v>
      </c>
      <c r="AI149" s="1112">
        <v>10437</v>
      </c>
      <c r="AJ149" s="1112">
        <v>1741239</v>
      </c>
      <c r="AK149" s="1112">
        <v>279311</v>
      </c>
      <c r="AL149" s="270">
        <v>546116</v>
      </c>
      <c r="AM149" s="1112">
        <v>0</v>
      </c>
      <c r="AN149" s="1112">
        <v>30958</v>
      </c>
      <c r="AO149" s="1112">
        <v>62166</v>
      </c>
      <c r="AP149" s="1112">
        <v>680430</v>
      </c>
      <c r="AQ149" s="1112">
        <v>430634</v>
      </c>
      <c r="AR149" s="1112">
        <v>6760</v>
      </c>
      <c r="AS149" s="1112">
        <v>110166</v>
      </c>
      <c r="AT149" s="1112">
        <v>54652</v>
      </c>
      <c r="AU149" s="1112">
        <v>5471</v>
      </c>
      <c r="AV149" s="270">
        <v>4056</v>
      </c>
      <c r="AW149" s="1112">
        <v>512218</v>
      </c>
      <c r="AX149" s="1112">
        <v>38997</v>
      </c>
      <c r="AY149" s="1112">
        <v>3697546</v>
      </c>
      <c r="AZ149" s="1112">
        <v>139715</v>
      </c>
      <c r="BA149" s="1112">
        <v>650566</v>
      </c>
      <c r="BB149" s="1112">
        <v>155582</v>
      </c>
      <c r="BC149" s="1112">
        <v>120486</v>
      </c>
      <c r="BD149" s="1112">
        <v>188756</v>
      </c>
      <c r="BE149" s="1112">
        <v>0</v>
      </c>
      <c r="BF149" s="1112">
        <v>164574</v>
      </c>
      <c r="BG149" s="1112">
        <v>460800</v>
      </c>
      <c r="BH149" s="1112">
        <v>2073003</v>
      </c>
      <c r="BI149" s="1112">
        <v>1727</v>
      </c>
      <c r="BJ149" s="1112">
        <v>28970</v>
      </c>
      <c r="BK149" s="1112">
        <v>929486</v>
      </c>
      <c r="BL149" s="1112">
        <v>1530529</v>
      </c>
      <c r="BM149" s="1112">
        <v>768308</v>
      </c>
      <c r="BN149" s="1112">
        <v>11485</v>
      </c>
      <c r="BO149" s="1112">
        <v>205291</v>
      </c>
      <c r="BP149" s="1112">
        <v>167598</v>
      </c>
      <c r="BQ149" s="1112">
        <v>365136</v>
      </c>
      <c r="BR149" s="1112">
        <v>134962</v>
      </c>
      <c r="BS149" s="1112">
        <v>96988</v>
      </c>
      <c r="BT149" s="298">
        <v>190534</v>
      </c>
      <c r="BU149" s="298">
        <v>196809</v>
      </c>
      <c r="BV149" s="298">
        <v>43005</v>
      </c>
      <c r="BW149" s="298">
        <v>363584</v>
      </c>
      <c r="BX149" s="298">
        <v>1579095</v>
      </c>
      <c r="BY149" s="298">
        <v>16232</v>
      </c>
      <c r="BZ149" s="298">
        <v>0</v>
      </c>
      <c r="CA149" s="298">
        <v>469413</v>
      </c>
      <c r="CB149" s="298">
        <v>19729125</v>
      </c>
      <c r="CC149" s="298">
        <v>4830890</v>
      </c>
      <c r="CD149" s="298">
        <v>86824</v>
      </c>
      <c r="CE149" s="298">
        <v>1793615</v>
      </c>
      <c r="CF149" s="298">
        <v>50017</v>
      </c>
      <c r="CG149" s="298">
        <v>116388</v>
      </c>
      <c r="CH149" s="298">
        <v>20168229</v>
      </c>
      <c r="CI149" s="298">
        <v>3333460</v>
      </c>
      <c r="CJ149" s="298">
        <v>199494</v>
      </c>
      <c r="CK149" s="298">
        <v>303017</v>
      </c>
      <c r="CL149" s="298">
        <v>49405</v>
      </c>
      <c r="CM149" s="298">
        <v>810068</v>
      </c>
      <c r="CN149" s="298">
        <v>327408</v>
      </c>
      <c r="CO149" s="298">
        <v>127309</v>
      </c>
      <c r="CP149" s="298">
        <v>227442</v>
      </c>
      <c r="CQ149" s="298">
        <v>738086</v>
      </c>
    </row>
    <row r="150" spans="1:95" x14ac:dyDescent="0.3">
      <c r="A150" s="270">
        <v>500</v>
      </c>
      <c r="B150" s="270">
        <v>500</v>
      </c>
      <c r="C150" s="270" t="s">
        <v>183</v>
      </c>
      <c r="D150" s="270" t="s">
        <v>466</v>
      </c>
      <c r="E150" s="1112">
        <v>343715</v>
      </c>
      <c r="F150" s="270">
        <v>2773140</v>
      </c>
      <c r="G150" s="1112">
        <v>87946</v>
      </c>
      <c r="H150" s="1112">
        <v>349373</v>
      </c>
      <c r="I150" s="1112">
        <v>223847</v>
      </c>
      <c r="J150" s="1112">
        <v>101410</v>
      </c>
      <c r="K150" s="1112">
        <v>6812</v>
      </c>
      <c r="L150" s="1112">
        <v>33165</v>
      </c>
      <c r="M150" s="1112">
        <v>31530</v>
      </c>
      <c r="N150" s="270">
        <v>24869</v>
      </c>
      <c r="O150" s="1112">
        <v>305112</v>
      </c>
      <c r="P150" s="1112">
        <v>69506</v>
      </c>
      <c r="Q150" s="1112">
        <v>22531</v>
      </c>
      <c r="R150" s="1112">
        <v>0</v>
      </c>
      <c r="S150" s="270">
        <v>2388</v>
      </c>
      <c r="T150" s="1112">
        <v>123370</v>
      </c>
      <c r="U150" s="1112">
        <v>2891969</v>
      </c>
      <c r="V150" s="1112">
        <v>43724</v>
      </c>
      <c r="W150" s="1112">
        <v>0</v>
      </c>
      <c r="X150" s="270">
        <v>480361</v>
      </c>
      <c r="Y150" s="1112">
        <v>32136</v>
      </c>
      <c r="Z150" s="1112">
        <v>12716</v>
      </c>
      <c r="AA150" s="1112">
        <v>1026941</v>
      </c>
      <c r="AB150" s="1112">
        <v>28767</v>
      </c>
      <c r="AC150" s="1112">
        <v>195287</v>
      </c>
      <c r="AD150" s="270">
        <v>110922</v>
      </c>
      <c r="AE150" s="270">
        <v>10338518</v>
      </c>
      <c r="AF150" s="1112">
        <v>831286</v>
      </c>
      <c r="AG150" s="1112">
        <v>47095</v>
      </c>
      <c r="AH150" s="1112">
        <v>265446</v>
      </c>
      <c r="AI150" s="270">
        <v>5894</v>
      </c>
      <c r="AJ150" s="1112">
        <v>401568</v>
      </c>
      <c r="AK150" s="1112">
        <v>4327</v>
      </c>
      <c r="AL150" s="270">
        <v>783421</v>
      </c>
      <c r="AM150" s="270">
        <v>0</v>
      </c>
      <c r="AN150" s="1112">
        <v>10213</v>
      </c>
      <c r="AO150" s="1112">
        <v>0</v>
      </c>
      <c r="AP150" s="1112">
        <v>174825</v>
      </c>
      <c r="AQ150" s="1112">
        <v>82202</v>
      </c>
      <c r="AR150" s="1112">
        <v>103218</v>
      </c>
      <c r="AS150" s="1112">
        <v>0</v>
      </c>
      <c r="AT150" s="270">
        <v>89963</v>
      </c>
      <c r="AU150" s="1112">
        <v>134008</v>
      </c>
      <c r="AV150" s="270">
        <v>153546</v>
      </c>
      <c r="AW150" s="1112">
        <v>192992</v>
      </c>
      <c r="AX150" s="1112">
        <v>89278</v>
      </c>
      <c r="AY150" s="1112">
        <v>6697139</v>
      </c>
      <c r="AZ150" s="1112">
        <v>991629</v>
      </c>
      <c r="BA150" s="1112">
        <v>52537</v>
      </c>
      <c r="BB150" s="1112">
        <v>0</v>
      </c>
      <c r="BC150" s="1112">
        <v>61986</v>
      </c>
      <c r="BD150" s="1112">
        <v>57487</v>
      </c>
      <c r="BE150" s="1112">
        <v>56023</v>
      </c>
      <c r="BF150" s="1112">
        <v>33884</v>
      </c>
      <c r="BG150" s="1112">
        <v>109818</v>
      </c>
      <c r="BH150" s="1112">
        <v>10405</v>
      </c>
      <c r="BI150" s="1112">
        <v>124646</v>
      </c>
      <c r="BJ150" s="1112">
        <v>53531</v>
      </c>
      <c r="BK150" s="1112">
        <v>3932299</v>
      </c>
      <c r="BL150" s="1112">
        <v>82570</v>
      </c>
      <c r="BM150" s="270">
        <v>132003</v>
      </c>
      <c r="BN150" s="1112">
        <v>0</v>
      </c>
      <c r="BO150" s="1112">
        <v>75002</v>
      </c>
      <c r="BP150" s="270">
        <v>126674</v>
      </c>
      <c r="BQ150" s="270">
        <v>1945782</v>
      </c>
      <c r="BR150" s="1112">
        <v>0</v>
      </c>
      <c r="BS150" s="1112">
        <v>116034</v>
      </c>
      <c r="BT150" s="298">
        <v>539902</v>
      </c>
      <c r="BU150" s="298">
        <v>3678291</v>
      </c>
      <c r="BV150" s="298">
        <v>81106</v>
      </c>
      <c r="BW150" s="298">
        <v>92196</v>
      </c>
      <c r="BX150" s="298">
        <v>408823</v>
      </c>
      <c r="BY150" s="298">
        <v>25250</v>
      </c>
      <c r="BZ150" s="298">
        <v>0</v>
      </c>
      <c r="CA150" s="298">
        <v>367032</v>
      </c>
      <c r="CB150" s="298">
        <v>13748046</v>
      </c>
      <c r="CC150" s="298">
        <v>700695</v>
      </c>
      <c r="CD150" s="298">
        <v>342966</v>
      </c>
      <c r="CE150" s="298">
        <v>0</v>
      </c>
      <c r="CF150" s="298">
        <v>29536</v>
      </c>
      <c r="CG150" s="298">
        <v>99260</v>
      </c>
      <c r="CH150" s="298">
        <v>0</v>
      </c>
      <c r="CI150" s="298">
        <v>966928</v>
      </c>
      <c r="CJ150" s="298">
        <v>123325</v>
      </c>
      <c r="CK150" s="298">
        <v>319260</v>
      </c>
      <c r="CL150" s="298">
        <v>160327</v>
      </c>
      <c r="CM150" s="298">
        <v>121787</v>
      </c>
      <c r="CN150" s="298">
        <v>97423</v>
      </c>
      <c r="CO150" s="298">
        <v>291230</v>
      </c>
      <c r="CP150" s="298">
        <v>84034</v>
      </c>
      <c r="CQ150" s="298">
        <v>774670</v>
      </c>
    </row>
    <row r="151" spans="1:95" x14ac:dyDescent="0.3">
      <c r="A151" s="270"/>
      <c r="B151" s="270">
        <v>501</v>
      </c>
      <c r="C151" s="270" t="s">
        <v>185</v>
      </c>
      <c r="D151" s="270" t="s">
        <v>467</v>
      </c>
      <c r="E151" s="270">
        <v>0</v>
      </c>
      <c r="F151" s="270">
        <v>0</v>
      </c>
      <c r="G151" s="270">
        <v>0</v>
      </c>
      <c r="H151" s="270">
        <v>0</v>
      </c>
      <c r="I151" s="270">
        <v>0</v>
      </c>
      <c r="J151" s="270">
        <v>0</v>
      </c>
      <c r="K151" s="270">
        <v>0</v>
      </c>
      <c r="L151" s="270">
        <v>0</v>
      </c>
      <c r="M151" s="270">
        <v>0</v>
      </c>
      <c r="N151" s="270">
        <v>0</v>
      </c>
      <c r="O151" s="270">
        <v>0</v>
      </c>
      <c r="P151" s="270">
        <v>0</v>
      </c>
      <c r="Q151" s="270">
        <v>0</v>
      </c>
      <c r="R151" s="270">
        <v>0</v>
      </c>
      <c r="S151" s="270">
        <v>0</v>
      </c>
      <c r="T151" s="270">
        <v>0</v>
      </c>
      <c r="U151" s="270">
        <v>0</v>
      </c>
      <c r="V151" s="270">
        <v>0</v>
      </c>
      <c r="W151" s="270">
        <v>0</v>
      </c>
      <c r="X151" s="270">
        <v>0</v>
      </c>
      <c r="Y151" s="270">
        <v>0</v>
      </c>
      <c r="Z151" s="270">
        <v>0</v>
      </c>
      <c r="AA151" s="270">
        <v>0</v>
      </c>
      <c r="AB151" s="270">
        <v>0</v>
      </c>
      <c r="AC151" s="270">
        <v>0</v>
      </c>
      <c r="AD151" s="270">
        <v>0</v>
      </c>
      <c r="AE151" s="270">
        <v>0</v>
      </c>
      <c r="AF151" s="270">
        <v>0</v>
      </c>
      <c r="AG151" s="270">
        <v>0</v>
      </c>
      <c r="AH151" s="270">
        <v>0</v>
      </c>
      <c r="AI151" s="270">
        <v>0</v>
      </c>
      <c r="AJ151" s="270">
        <v>0</v>
      </c>
      <c r="AK151" s="270">
        <v>0</v>
      </c>
      <c r="AL151" s="270">
        <v>0</v>
      </c>
      <c r="AM151" s="270">
        <v>0</v>
      </c>
      <c r="AN151" s="270">
        <v>0</v>
      </c>
      <c r="AO151" s="270">
        <v>0</v>
      </c>
      <c r="AP151" s="270">
        <v>0</v>
      </c>
      <c r="AQ151" s="270">
        <v>0</v>
      </c>
      <c r="AR151" s="270">
        <v>0</v>
      </c>
      <c r="AS151" s="270">
        <v>0</v>
      </c>
      <c r="AT151" s="270">
        <v>0</v>
      </c>
      <c r="AU151" s="270">
        <v>0</v>
      </c>
      <c r="AV151" s="270">
        <v>0</v>
      </c>
      <c r="AW151" s="270">
        <v>0</v>
      </c>
      <c r="AX151" s="270">
        <v>0</v>
      </c>
      <c r="AY151" s="270">
        <v>0</v>
      </c>
      <c r="AZ151" s="270">
        <v>0</v>
      </c>
      <c r="BA151" s="270">
        <v>0</v>
      </c>
      <c r="BB151" s="270">
        <v>0</v>
      </c>
      <c r="BC151" s="270">
        <v>0</v>
      </c>
      <c r="BD151" s="270">
        <v>0</v>
      </c>
      <c r="BE151" s="270">
        <v>0</v>
      </c>
      <c r="BF151" s="270">
        <v>0</v>
      </c>
      <c r="BG151" s="270">
        <v>0</v>
      </c>
      <c r="BH151" s="270">
        <v>0</v>
      </c>
      <c r="BI151" s="270">
        <v>0</v>
      </c>
      <c r="BJ151" s="270">
        <v>0</v>
      </c>
      <c r="BK151" s="270">
        <v>0</v>
      </c>
      <c r="BL151" s="270">
        <v>0</v>
      </c>
      <c r="BM151" s="270">
        <v>0</v>
      </c>
      <c r="BN151" s="270">
        <v>0</v>
      </c>
      <c r="BO151" s="270">
        <v>0</v>
      </c>
      <c r="BP151" s="270">
        <v>0</v>
      </c>
      <c r="BQ151" s="270">
        <v>0</v>
      </c>
      <c r="BR151" s="270">
        <v>0</v>
      </c>
      <c r="BS151" s="270">
        <v>0</v>
      </c>
      <c r="BT151" s="298">
        <v>0</v>
      </c>
      <c r="BU151" s="298">
        <v>0</v>
      </c>
      <c r="BV151" s="298">
        <v>0</v>
      </c>
      <c r="BW151" s="298">
        <v>0</v>
      </c>
      <c r="BX151" s="298">
        <v>0</v>
      </c>
      <c r="BY151" s="298">
        <v>0</v>
      </c>
      <c r="BZ151" s="298">
        <v>0</v>
      </c>
      <c r="CA151" s="298">
        <v>0</v>
      </c>
      <c r="CB151" s="298">
        <v>0</v>
      </c>
      <c r="CC151" s="298">
        <v>0</v>
      </c>
      <c r="CD151" s="298">
        <v>0</v>
      </c>
      <c r="CE151" s="298">
        <v>0</v>
      </c>
      <c r="CF151" s="298">
        <v>0</v>
      </c>
      <c r="CG151" s="298">
        <v>0</v>
      </c>
      <c r="CH151" s="298">
        <v>0</v>
      </c>
      <c r="CI151" s="298">
        <v>0</v>
      </c>
      <c r="CJ151" s="298">
        <v>0</v>
      </c>
      <c r="CK151" s="298">
        <v>0</v>
      </c>
      <c r="CL151" s="298">
        <v>0</v>
      </c>
      <c r="CM151" s="298">
        <v>0</v>
      </c>
      <c r="CN151" s="298">
        <v>0</v>
      </c>
      <c r="CO151" s="298">
        <v>0</v>
      </c>
      <c r="CP151" s="298">
        <v>0</v>
      </c>
      <c r="CQ151" s="298">
        <v>0</v>
      </c>
    </row>
    <row r="152" spans="1:95" x14ac:dyDescent="0.3">
      <c r="A152" s="270">
        <v>502</v>
      </c>
      <c r="B152" s="270">
        <v>502</v>
      </c>
      <c r="C152" s="270" t="s">
        <v>186</v>
      </c>
      <c r="D152" s="270" t="s">
        <v>468</v>
      </c>
      <c r="E152" s="1112">
        <v>0</v>
      </c>
      <c r="F152" s="1112">
        <v>1329323</v>
      </c>
      <c r="G152" s="1112">
        <v>523645</v>
      </c>
      <c r="H152" s="1112">
        <v>1085826</v>
      </c>
      <c r="I152" s="270">
        <v>5016558</v>
      </c>
      <c r="J152" s="1112">
        <v>62494</v>
      </c>
      <c r="K152" s="1112">
        <v>43636930</v>
      </c>
      <c r="L152" s="1112">
        <v>510167</v>
      </c>
      <c r="M152" s="1112">
        <v>0</v>
      </c>
      <c r="N152" s="270">
        <v>1375026</v>
      </c>
      <c r="O152" s="1112">
        <v>193592</v>
      </c>
      <c r="P152" s="270">
        <v>0</v>
      </c>
      <c r="Q152" s="1112">
        <v>37486</v>
      </c>
      <c r="R152" s="1112">
        <v>36831</v>
      </c>
      <c r="S152" s="270">
        <v>0</v>
      </c>
      <c r="T152" s="1112">
        <v>0</v>
      </c>
      <c r="U152" s="1112">
        <v>4961609</v>
      </c>
      <c r="V152" s="1112">
        <v>58422</v>
      </c>
      <c r="W152" s="1112">
        <v>2324446</v>
      </c>
      <c r="X152" s="1112">
        <v>0</v>
      </c>
      <c r="Y152" s="1112">
        <v>2573162</v>
      </c>
      <c r="Z152" s="270">
        <v>0</v>
      </c>
      <c r="AA152" s="1112">
        <v>15838867</v>
      </c>
      <c r="AB152" s="1112">
        <v>1972054</v>
      </c>
      <c r="AC152" s="1112">
        <v>84911</v>
      </c>
      <c r="AD152" s="1112">
        <v>184630</v>
      </c>
      <c r="AE152" s="1112">
        <v>8558707</v>
      </c>
      <c r="AF152" s="270">
        <v>0</v>
      </c>
      <c r="AG152" s="270">
        <v>1921021</v>
      </c>
      <c r="AH152" s="1112">
        <v>0</v>
      </c>
      <c r="AI152" s="1112">
        <v>535472</v>
      </c>
      <c r="AJ152" s="1112">
        <v>1448296</v>
      </c>
      <c r="AK152" s="1112">
        <v>640226</v>
      </c>
      <c r="AL152" s="270">
        <v>580129</v>
      </c>
      <c r="AM152" s="270">
        <v>0</v>
      </c>
      <c r="AN152" s="1112">
        <v>55584</v>
      </c>
      <c r="AO152" s="1112">
        <v>0</v>
      </c>
      <c r="AP152" s="1112">
        <v>811332</v>
      </c>
      <c r="AQ152" s="270">
        <v>498945</v>
      </c>
      <c r="AR152" s="270">
        <v>0</v>
      </c>
      <c r="AS152" s="1112">
        <v>0</v>
      </c>
      <c r="AT152" s="1112">
        <v>0</v>
      </c>
      <c r="AU152" s="1112">
        <v>0</v>
      </c>
      <c r="AV152" s="270">
        <v>256105</v>
      </c>
      <c r="AW152" s="1112">
        <v>2496968</v>
      </c>
      <c r="AX152" s="1112">
        <v>406459</v>
      </c>
      <c r="AY152" s="1112">
        <v>5483359</v>
      </c>
      <c r="AZ152" s="1112">
        <v>0</v>
      </c>
      <c r="BA152" s="270">
        <v>2093348</v>
      </c>
      <c r="BB152" s="1112">
        <v>0</v>
      </c>
      <c r="BC152" s="1112">
        <v>1331532</v>
      </c>
      <c r="BD152" s="270">
        <v>948631</v>
      </c>
      <c r="BE152" s="270">
        <v>364390</v>
      </c>
      <c r="BF152" s="1112">
        <v>401682</v>
      </c>
      <c r="BG152" s="1112">
        <v>1920398</v>
      </c>
      <c r="BH152" s="1112">
        <v>24198194</v>
      </c>
      <c r="BI152" s="1112">
        <v>0</v>
      </c>
      <c r="BJ152" s="1112">
        <v>0</v>
      </c>
      <c r="BK152" s="1112">
        <v>0</v>
      </c>
      <c r="BL152" s="1112">
        <v>7212968</v>
      </c>
      <c r="BM152" s="1112">
        <v>3241435</v>
      </c>
      <c r="BN152" s="1112">
        <v>0</v>
      </c>
      <c r="BO152" s="1112">
        <v>0</v>
      </c>
      <c r="BP152" s="1112">
        <v>2031779</v>
      </c>
      <c r="BQ152" s="1112">
        <v>0</v>
      </c>
      <c r="BR152" s="1112">
        <v>0</v>
      </c>
      <c r="BS152" s="1112">
        <v>0</v>
      </c>
      <c r="BT152" s="298">
        <v>1214322</v>
      </c>
      <c r="BU152" s="298">
        <v>0</v>
      </c>
      <c r="BV152" s="298">
        <v>250051</v>
      </c>
      <c r="BW152" s="298">
        <v>1776134</v>
      </c>
      <c r="BX152" s="298">
        <v>2853025</v>
      </c>
      <c r="BY152" s="298">
        <v>97219</v>
      </c>
      <c r="BZ152" s="298">
        <v>0</v>
      </c>
      <c r="CA152" s="298">
        <v>7539789</v>
      </c>
      <c r="CB152" s="298">
        <v>44793095</v>
      </c>
      <c r="CC152" s="298">
        <v>69517084</v>
      </c>
      <c r="CD152" s="298">
        <v>9632</v>
      </c>
      <c r="CE152" s="298">
        <v>4164460</v>
      </c>
      <c r="CF152" s="298">
        <v>59010</v>
      </c>
      <c r="CG152" s="298">
        <v>788110</v>
      </c>
      <c r="CH152" s="298">
        <v>170164807</v>
      </c>
      <c r="CI152" s="298">
        <v>7500358</v>
      </c>
      <c r="CJ152" s="298">
        <v>997208</v>
      </c>
      <c r="CK152" s="298">
        <v>0</v>
      </c>
      <c r="CL152" s="298">
        <v>479348</v>
      </c>
      <c r="CM152" s="298">
        <v>7646563</v>
      </c>
      <c r="CN152" s="298">
        <v>2912272</v>
      </c>
      <c r="CO152" s="298">
        <v>1890688</v>
      </c>
      <c r="CP152" s="298">
        <v>0</v>
      </c>
      <c r="CQ152" s="298">
        <v>0</v>
      </c>
    </row>
    <row r="153" spans="1:95" x14ac:dyDescent="0.3">
      <c r="A153" s="270">
        <v>503</v>
      </c>
      <c r="B153" s="270">
        <v>503</v>
      </c>
      <c r="C153" s="270" t="s">
        <v>187</v>
      </c>
      <c r="D153" s="270" t="s">
        <v>469</v>
      </c>
      <c r="E153" s="1112">
        <v>0</v>
      </c>
      <c r="F153" s="1112">
        <v>0</v>
      </c>
      <c r="G153" s="1112">
        <v>0</v>
      </c>
      <c r="H153" s="1112">
        <v>187987</v>
      </c>
      <c r="I153" s="270">
        <v>173658</v>
      </c>
      <c r="J153" s="1112">
        <v>1950</v>
      </c>
      <c r="K153" s="1112">
        <v>1116374</v>
      </c>
      <c r="L153" s="1112">
        <v>19244</v>
      </c>
      <c r="M153" s="1112">
        <v>0</v>
      </c>
      <c r="N153" s="270">
        <v>25875</v>
      </c>
      <c r="O153" s="1112">
        <v>7395</v>
      </c>
      <c r="P153" s="270">
        <v>0</v>
      </c>
      <c r="Q153" s="270">
        <v>260124</v>
      </c>
      <c r="R153" s="1112">
        <v>0</v>
      </c>
      <c r="S153" s="270">
        <v>0</v>
      </c>
      <c r="T153" s="270">
        <v>0</v>
      </c>
      <c r="U153" s="1112">
        <v>0</v>
      </c>
      <c r="V153" s="1112">
        <v>0</v>
      </c>
      <c r="W153" s="1112">
        <v>19000</v>
      </c>
      <c r="X153" s="270">
        <v>0</v>
      </c>
      <c r="Y153" s="1112">
        <v>31623</v>
      </c>
      <c r="Z153" s="270">
        <v>0</v>
      </c>
      <c r="AA153" s="1112">
        <v>978818</v>
      </c>
      <c r="AB153" s="270">
        <v>5594</v>
      </c>
      <c r="AC153" s="270">
        <v>0</v>
      </c>
      <c r="AD153" s="1112">
        <v>0</v>
      </c>
      <c r="AE153" s="270">
        <v>486400</v>
      </c>
      <c r="AF153" s="270">
        <v>0</v>
      </c>
      <c r="AG153" s="270">
        <v>0</v>
      </c>
      <c r="AH153" s="1112">
        <v>0</v>
      </c>
      <c r="AI153" s="1112">
        <v>3061</v>
      </c>
      <c r="AJ153" s="1112">
        <v>0</v>
      </c>
      <c r="AK153" s="1112">
        <v>142844</v>
      </c>
      <c r="AL153" s="270">
        <v>94616</v>
      </c>
      <c r="AM153" s="270">
        <v>0</v>
      </c>
      <c r="AN153" s="1112">
        <v>2380</v>
      </c>
      <c r="AO153" s="270">
        <v>0</v>
      </c>
      <c r="AP153" s="1112">
        <v>73794</v>
      </c>
      <c r="AQ153" s="270">
        <v>38626</v>
      </c>
      <c r="AR153" s="1112">
        <v>0</v>
      </c>
      <c r="AS153" s="1112">
        <v>0</v>
      </c>
      <c r="AT153" s="270">
        <v>0</v>
      </c>
      <c r="AU153" s="1112">
        <v>0</v>
      </c>
      <c r="AV153" s="270">
        <v>16265</v>
      </c>
      <c r="AW153" s="1112">
        <v>300507</v>
      </c>
      <c r="AX153" s="1112">
        <v>0</v>
      </c>
      <c r="AY153" s="1112">
        <v>279788</v>
      </c>
      <c r="AZ153" s="1112">
        <v>0</v>
      </c>
      <c r="BA153" s="270">
        <v>0</v>
      </c>
      <c r="BB153" s="270">
        <v>0</v>
      </c>
      <c r="BC153" s="1112">
        <v>28752</v>
      </c>
      <c r="BD153" s="270">
        <v>4850</v>
      </c>
      <c r="BE153" s="1112">
        <v>17651</v>
      </c>
      <c r="BF153" s="1112">
        <v>98220</v>
      </c>
      <c r="BG153" s="1112">
        <v>189931</v>
      </c>
      <c r="BH153" s="1112">
        <v>574795</v>
      </c>
      <c r="BI153" s="1112">
        <v>0</v>
      </c>
      <c r="BJ153" s="1112">
        <v>0</v>
      </c>
      <c r="BK153" s="1112">
        <v>0</v>
      </c>
      <c r="BL153" s="270">
        <v>265567</v>
      </c>
      <c r="BM153" s="270">
        <v>24350</v>
      </c>
      <c r="BN153" s="1112">
        <v>0</v>
      </c>
      <c r="BO153" s="1112">
        <v>0</v>
      </c>
      <c r="BP153" s="1112">
        <v>40965</v>
      </c>
      <c r="BQ153" s="1112">
        <v>0</v>
      </c>
      <c r="BR153" s="1112">
        <v>0</v>
      </c>
      <c r="BS153" s="1112">
        <v>0</v>
      </c>
      <c r="BT153" s="298">
        <v>33080</v>
      </c>
      <c r="BU153" s="298">
        <v>0</v>
      </c>
      <c r="BV153" s="298">
        <v>102138</v>
      </c>
      <c r="BW153" s="298">
        <v>135950</v>
      </c>
      <c r="BX153" s="298">
        <v>191567</v>
      </c>
      <c r="BY153" s="298">
        <v>1243</v>
      </c>
      <c r="BZ153" s="298">
        <v>0</v>
      </c>
      <c r="CA153" s="298">
        <v>193990</v>
      </c>
      <c r="CB153" s="298">
        <v>1871054</v>
      </c>
      <c r="CC153" s="298">
        <v>2529587</v>
      </c>
      <c r="CD153" s="298">
        <v>670986</v>
      </c>
      <c r="CE153" s="298">
        <v>103255</v>
      </c>
      <c r="CF153" s="298">
        <v>40690</v>
      </c>
      <c r="CG153" s="298">
        <v>374363</v>
      </c>
      <c r="CH153" s="298">
        <v>88012047</v>
      </c>
      <c r="CI153" s="298">
        <v>436207</v>
      </c>
      <c r="CJ153" s="298">
        <v>42862</v>
      </c>
      <c r="CK153" s="298">
        <v>0</v>
      </c>
      <c r="CL153" s="298">
        <v>21391</v>
      </c>
      <c r="CM153" s="298">
        <v>0</v>
      </c>
      <c r="CN153" s="298">
        <v>49899</v>
      </c>
      <c r="CO153" s="298">
        <v>2021</v>
      </c>
      <c r="CP153" s="298">
        <v>0</v>
      </c>
      <c r="CQ153" s="298">
        <v>0</v>
      </c>
    </row>
    <row r="154" spans="1:95" x14ac:dyDescent="0.3">
      <c r="A154" s="270">
        <v>504</v>
      </c>
      <c r="B154" s="270">
        <v>504</v>
      </c>
      <c r="C154" s="270" t="s">
        <v>191</v>
      </c>
      <c r="D154" s="270" t="s">
        <v>470</v>
      </c>
      <c r="E154" s="1112">
        <v>13753</v>
      </c>
      <c r="F154" s="1112">
        <v>1627923</v>
      </c>
      <c r="G154" s="1112">
        <v>520</v>
      </c>
      <c r="H154" s="1112">
        <v>126884</v>
      </c>
      <c r="I154" s="1112">
        <v>27276</v>
      </c>
      <c r="J154" s="1112">
        <v>31437</v>
      </c>
      <c r="K154" s="1112">
        <v>698158</v>
      </c>
      <c r="L154" s="1112">
        <v>31262</v>
      </c>
      <c r="M154" s="1112">
        <v>47477</v>
      </c>
      <c r="N154" s="270">
        <v>0</v>
      </c>
      <c r="O154" s="1112">
        <v>307272</v>
      </c>
      <c r="P154" s="1112">
        <v>6842</v>
      </c>
      <c r="Q154" s="1112">
        <v>15553</v>
      </c>
      <c r="R154" s="1112">
        <v>28443</v>
      </c>
      <c r="S154" s="270">
        <v>750</v>
      </c>
      <c r="T154" s="1112">
        <v>298697</v>
      </c>
      <c r="U154" s="1112">
        <v>262762</v>
      </c>
      <c r="V154" s="1112">
        <v>942063</v>
      </c>
      <c r="W154" s="1112">
        <v>0</v>
      </c>
      <c r="X154" s="1112">
        <v>432810</v>
      </c>
      <c r="Y154" s="1112">
        <v>407495</v>
      </c>
      <c r="Z154" s="1112">
        <v>6066</v>
      </c>
      <c r="AA154" s="1112">
        <v>446543</v>
      </c>
      <c r="AB154" s="1112">
        <v>62564</v>
      </c>
      <c r="AC154" s="1112">
        <v>22881</v>
      </c>
      <c r="AD154" s="1112">
        <v>13265</v>
      </c>
      <c r="AE154" s="1112">
        <v>1542035</v>
      </c>
      <c r="AF154" s="1112">
        <v>1774</v>
      </c>
      <c r="AG154" s="1112">
        <v>4359604</v>
      </c>
      <c r="AH154" s="1112">
        <v>1032336</v>
      </c>
      <c r="AI154" s="1112">
        <v>9663</v>
      </c>
      <c r="AJ154" s="1112">
        <v>190812</v>
      </c>
      <c r="AK154" s="1112">
        <v>87155</v>
      </c>
      <c r="AL154" s="270">
        <v>376708</v>
      </c>
      <c r="AM154" s="1112">
        <v>0</v>
      </c>
      <c r="AN154" s="1112">
        <v>10441</v>
      </c>
      <c r="AO154" s="1112">
        <v>50000</v>
      </c>
      <c r="AP154" s="1112">
        <v>188012</v>
      </c>
      <c r="AQ154" s="1112">
        <v>66191</v>
      </c>
      <c r="AR154" s="1112">
        <v>15014</v>
      </c>
      <c r="AS154" s="1112">
        <v>73085</v>
      </c>
      <c r="AT154" s="1112">
        <v>30567</v>
      </c>
      <c r="AU154" s="1112">
        <v>28643</v>
      </c>
      <c r="AV154" s="270">
        <v>16708</v>
      </c>
      <c r="AW154" s="1112">
        <v>341355</v>
      </c>
      <c r="AX154" s="1112">
        <v>39121</v>
      </c>
      <c r="AY154" s="1112">
        <v>1231411</v>
      </c>
      <c r="AZ154" s="270">
        <v>181900</v>
      </c>
      <c r="BA154" s="1112">
        <v>622604</v>
      </c>
      <c r="BB154" s="1112">
        <v>0</v>
      </c>
      <c r="BC154" s="1112">
        <v>44292</v>
      </c>
      <c r="BD154" s="1112">
        <v>34726</v>
      </c>
      <c r="BE154" s="1112">
        <v>7600</v>
      </c>
      <c r="BF154" s="1112">
        <v>360246</v>
      </c>
      <c r="BG154" s="1112">
        <v>257248</v>
      </c>
      <c r="BH154" s="1112">
        <v>773298</v>
      </c>
      <c r="BI154" s="1112">
        <v>16070</v>
      </c>
      <c r="BJ154" s="1112">
        <v>8669</v>
      </c>
      <c r="BK154" s="1112">
        <v>304506</v>
      </c>
      <c r="BL154" s="1112">
        <v>407276</v>
      </c>
      <c r="BM154" s="1112">
        <v>47858</v>
      </c>
      <c r="BN154" s="1112">
        <v>2700</v>
      </c>
      <c r="BO154" s="1112">
        <v>0</v>
      </c>
      <c r="BP154" s="1112">
        <v>47792</v>
      </c>
      <c r="BQ154" s="1112">
        <v>294733</v>
      </c>
      <c r="BR154" s="1112">
        <v>0</v>
      </c>
      <c r="BS154" s="1112">
        <v>0</v>
      </c>
      <c r="BT154" s="298">
        <v>414672</v>
      </c>
      <c r="BU154" s="298">
        <v>132733</v>
      </c>
      <c r="BV154" s="298">
        <v>25933</v>
      </c>
      <c r="BW154" s="298">
        <v>189738</v>
      </c>
      <c r="BX154" s="298">
        <v>325711</v>
      </c>
      <c r="BY154" s="298">
        <v>25000</v>
      </c>
      <c r="BZ154" s="298">
        <v>0</v>
      </c>
      <c r="CA154" s="298">
        <v>725509</v>
      </c>
      <c r="CB154" s="298">
        <v>24933225</v>
      </c>
      <c r="CC154" s="298">
        <v>3275404</v>
      </c>
      <c r="CD154" s="298">
        <v>85979</v>
      </c>
      <c r="CE154" s="298">
        <v>2653083</v>
      </c>
      <c r="CF154" s="298">
        <v>94555</v>
      </c>
      <c r="CG154" s="298">
        <v>107946</v>
      </c>
      <c r="CH154" s="298">
        <v>15166964</v>
      </c>
      <c r="CI154" s="298">
        <v>571829</v>
      </c>
      <c r="CJ154" s="298">
        <v>23274</v>
      </c>
      <c r="CK154" s="298">
        <v>185901</v>
      </c>
      <c r="CL154" s="298">
        <v>28025</v>
      </c>
      <c r="CM154" s="298">
        <v>424904</v>
      </c>
      <c r="CN154" s="298">
        <v>146514</v>
      </c>
      <c r="CO154" s="298">
        <v>115538</v>
      </c>
      <c r="CP154" s="298">
        <v>123721</v>
      </c>
      <c r="CQ154" s="298">
        <v>879578</v>
      </c>
    </row>
    <row r="155" spans="1:95" x14ac:dyDescent="0.3">
      <c r="A155" s="270">
        <v>505</v>
      </c>
      <c r="B155" s="270">
        <v>505</v>
      </c>
      <c r="C155" s="270" t="s">
        <v>192</v>
      </c>
      <c r="D155" s="270" t="s">
        <v>471</v>
      </c>
      <c r="E155" s="270">
        <v>0</v>
      </c>
      <c r="F155" s="270">
        <v>323095</v>
      </c>
      <c r="G155" s="270">
        <v>46626</v>
      </c>
      <c r="H155" s="1112">
        <v>696443</v>
      </c>
      <c r="I155" s="270">
        <v>224356</v>
      </c>
      <c r="J155" s="270">
        <v>11000</v>
      </c>
      <c r="K155" s="1112">
        <v>736939</v>
      </c>
      <c r="L155" s="270">
        <v>0</v>
      </c>
      <c r="M155" s="1112">
        <v>0</v>
      </c>
      <c r="N155" s="270">
        <v>3200</v>
      </c>
      <c r="O155" s="1112">
        <v>0</v>
      </c>
      <c r="P155" s="270">
        <v>0</v>
      </c>
      <c r="Q155" s="1112">
        <v>148046</v>
      </c>
      <c r="R155" s="1112">
        <v>0</v>
      </c>
      <c r="S155" s="270">
        <v>0</v>
      </c>
      <c r="T155" s="270">
        <v>0</v>
      </c>
      <c r="U155" s="270">
        <v>0</v>
      </c>
      <c r="V155" s="270">
        <v>99716</v>
      </c>
      <c r="W155" s="270">
        <v>0</v>
      </c>
      <c r="X155" s="270">
        <v>83093</v>
      </c>
      <c r="Y155" s="1112">
        <v>0</v>
      </c>
      <c r="Z155" s="270">
        <v>0</v>
      </c>
      <c r="AA155" s="1112">
        <v>0</v>
      </c>
      <c r="AB155" s="1112">
        <v>0</v>
      </c>
      <c r="AC155" s="1112">
        <v>0</v>
      </c>
      <c r="AD155" s="1112">
        <v>0</v>
      </c>
      <c r="AE155" s="270">
        <v>321145</v>
      </c>
      <c r="AF155" s="270">
        <v>91998</v>
      </c>
      <c r="AG155" s="270">
        <v>0</v>
      </c>
      <c r="AH155" s="1112">
        <v>51631</v>
      </c>
      <c r="AI155" s="270">
        <v>105000</v>
      </c>
      <c r="AJ155" s="270">
        <v>0</v>
      </c>
      <c r="AK155" s="270">
        <v>0</v>
      </c>
      <c r="AL155" s="270">
        <v>425876</v>
      </c>
      <c r="AM155" s="270">
        <v>0</v>
      </c>
      <c r="AN155" s="1112">
        <v>0</v>
      </c>
      <c r="AO155" s="270">
        <v>0</v>
      </c>
      <c r="AP155" s="270">
        <v>175000</v>
      </c>
      <c r="AQ155" s="270">
        <v>15000</v>
      </c>
      <c r="AR155" s="270">
        <v>0</v>
      </c>
      <c r="AS155" s="270">
        <v>0</v>
      </c>
      <c r="AT155" s="270">
        <v>0</v>
      </c>
      <c r="AU155" s="270">
        <v>0</v>
      </c>
      <c r="AV155" s="270">
        <v>241162</v>
      </c>
      <c r="AW155" s="1112">
        <v>37000</v>
      </c>
      <c r="AX155" s="1112">
        <v>0</v>
      </c>
      <c r="AY155" s="1112">
        <v>50014475</v>
      </c>
      <c r="AZ155" s="1112">
        <v>0</v>
      </c>
      <c r="BA155" s="270">
        <v>0</v>
      </c>
      <c r="BB155" s="1112">
        <v>0</v>
      </c>
      <c r="BC155" s="1112">
        <v>0</v>
      </c>
      <c r="BD155" s="270">
        <v>73728</v>
      </c>
      <c r="BE155" s="270">
        <v>0</v>
      </c>
      <c r="BF155" s="1112">
        <v>930</v>
      </c>
      <c r="BG155" s="270">
        <v>0</v>
      </c>
      <c r="BH155" s="1112">
        <v>1096537</v>
      </c>
      <c r="BI155" s="1112">
        <v>0</v>
      </c>
      <c r="BJ155" s="270">
        <v>0</v>
      </c>
      <c r="BK155" s="1112">
        <v>2923158</v>
      </c>
      <c r="BL155" s="270">
        <v>35326</v>
      </c>
      <c r="BM155" s="270">
        <v>104952</v>
      </c>
      <c r="BN155" s="1112">
        <v>0</v>
      </c>
      <c r="BO155" s="270">
        <v>0</v>
      </c>
      <c r="BP155" s="270">
        <v>0</v>
      </c>
      <c r="BQ155" s="270">
        <v>0</v>
      </c>
      <c r="BR155" s="1112">
        <v>0</v>
      </c>
      <c r="BS155" s="1112">
        <v>19633</v>
      </c>
      <c r="BT155" s="298">
        <v>0</v>
      </c>
      <c r="BU155" s="298">
        <v>1236</v>
      </c>
      <c r="BV155" s="298">
        <v>0</v>
      </c>
      <c r="BW155" s="298">
        <v>426925</v>
      </c>
      <c r="BX155" s="298">
        <v>332000</v>
      </c>
      <c r="BY155" s="298">
        <v>0</v>
      </c>
      <c r="BZ155" s="298">
        <v>0</v>
      </c>
      <c r="CA155" s="298">
        <v>219573</v>
      </c>
      <c r="CB155" s="298">
        <v>6463891</v>
      </c>
      <c r="CC155" s="298">
        <v>800759</v>
      </c>
      <c r="CD155" s="298">
        <v>0</v>
      </c>
      <c r="CE155" s="298">
        <v>238176</v>
      </c>
      <c r="CF155" s="298">
        <v>0</v>
      </c>
      <c r="CG155" s="298">
        <v>278242</v>
      </c>
      <c r="CH155" s="298">
        <v>4399817</v>
      </c>
      <c r="CI155" s="298">
        <v>484353</v>
      </c>
      <c r="CJ155" s="298">
        <v>0</v>
      </c>
      <c r="CK155" s="298">
        <v>0</v>
      </c>
      <c r="CL155" s="298">
        <v>0</v>
      </c>
      <c r="CM155" s="298">
        <v>897932</v>
      </c>
      <c r="CN155" s="298">
        <v>1232525</v>
      </c>
      <c r="CO155" s="298">
        <v>169556</v>
      </c>
      <c r="CP155" s="298">
        <v>101037</v>
      </c>
      <c r="CQ155" s="298">
        <v>9994933</v>
      </c>
    </row>
    <row r="156" spans="1:95" x14ac:dyDescent="0.3">
      <c r="A156" s="270">
        <v>506</v>
      </c>
      <c r="B156" s="270">
        <v>506</v>
      </c>
      <c r="C156" s="270" t="s">
        <v>198</v>
      </c>
      <c r="D156" s="270" t="s">
        <v>472</v>
      </c>
      <c r="E156" s="1112">
        <v>433551</v>
      </c>
      <c r="F156" s="1112">
        <v>9070512</v>
      </c>
      <c r="G156" s="1112">
        <v>881939</v>
      </c>
      <c r="H156" s="1112">
        <v>849259</v>
      </c>
      <c r="I156" s="1112">
        <v>392431</v>
      </c>
      <c r="J156" s="1112">
        <v>631958</v>
      </c>
      <c r="K156" s="1112">
        <v>17672074</v>
      </c>
      <c r="L156" s="1112">
        <v>509756</v>
      </c>
      <c r="M156" s="1112">
        <v>395299</v>
      </c>
      <c r="N156" s="1112">
        <v>3066724</v>
      </c>
      <c r="O156" s="1112">
        <v>474854</v>
      </c>
      <c r="P156" s="1112">
        <v>246705</v>
      </c>
      <c r="Q156" s="1112">
        <v>261881</v>
      </c>
      <c r="R156" s="1112">
        <v>1153051</v>
      </c>
      <c r="S156" s="270">
        <v>6963962</v>
      </c>
      <c r="T156" s="1112">
        <v>7198469</v>
      </c>
      <c r="U156" s="1112">
        <v>7827704</v>
      </c>
      <c r="V156" s="1112">
        <v>2879912</v>
      </c>
      <c r="W156" s="1112">
        <v>3577647</v>
      </c>
      <c r="X156" s="1112">
        <v>4599159</v>
      </c>
      <c r="Y156" s="1112">
        <v>2216994</v>
      </c>
      <c r="Z156" s="1112">
        <v>79062</v>
      </c>
      <c r="AA156" s="1112">
        <v>2797678</v>
      </c>
      <c r="AB156" s="1112">
        <v>834266</v>
      </c>
      <c r="AC156" s="1112">
        <v>477129</v>
      </c>
      <c r="AD156" s="1112">
        <v>515342</v>
      </c>
      <c r="AE156" s="1112">
        <v>9909107</v>
      </c>
      <c r="AF156" s="1112">
        <v>1391271</v>
      </c>
      <c r="AG156" s="1112">
        <v>2640258</v>
      </c>
      <c r="AH156" s="1112">
        <v>1505321</v>
      </c>
      <c r="AI156" s="1112">
        <v>938585</v>
      </c>
      <c r="AJ156" s="1112">
        <v>6664732</v>
      </c>
      <c r="AK156" s="1112">
        <v>1981265</v>
      </c>
      <c r="AL156" s="270">
        <v>782345</v>
      </c>
      <c r="AM156" s="1112">
        <v>0</v>
      </c>
      <c r="AN156" s="1112">
        <v>116805</v>
      </c>
      <c r="AO156" s="1112">
        <v>2902653</v>
      </c>
      <c r="AP156" s="1112">
        <v>3389422</v>
      </c>
      <c r="AQ156" s="1112">
        <v>422262</v>
      </c>
      <c r="AR156" s="1112">
        <v>251182</v>
      </c>
      <c r="AS156" s="1112">
        <v>1566323</v>
      </c>
      <c r="AT156" s="1112">
        <v>427683</v>
      </c>
      <c r="AU156" s="1112">
        <v>73180</v>
      </c>
      <c r="AV156" s="270">
        <v>91512</v>
      </c>
      <c r="AW156" s="1112">
        <v>3024910</v>
      </c>
      <c r="AX156" s="1112">
        <v>846014</v>
      </c>
      <c r="AY156" s="1112">
        <v>15000322</v>
      </c>
      <c r="AZ156" s="1112">
        <v>3817195</v>
      </c>
      <c r="BA156" s="1112">
        <v>1915971</v>
      </c>
      <c r="BB156" s="1112">
        <v>2959726</v>
      </c>
      <c r="BC156" s="1112">
        <v>1134346</v>
      </c>
      <c r="BD156" s="1112">
        <v>853514</v>
      </c>
      <c r="BE156" s="1112">
        <v>193147</v>
      </c>
      <c r="BF156" s="1112">
        <v>868207</v>
      </c>
      <c r="BG156" s="1112">
        <v>1497027</v>
      </c>
      <c r="BH156" s="1112">
        <v>9563846</v>
      </c>
      <c r="BI156" s="1112">
        <v>370063</v>
      </c>
      <c r="BJ156" s="1112">
        <v>201362</v>
      </c>
      <c r="BK156" s="1112">
        <v>6789587</v>
      </c>
      <c r="BL156" s="1112">
        <v>7086335</v>
      </c>
      <c r="BM156" s="1112">
        <v>7739739</v>
      </c>
      <c r="BN156" s="1112">
        <v>140933</v>
      </c>
      <c r="BO156" s="1112">
        <v>3181648</v>
      </c>
      <c r="BP156" s="1112">
        <v>1770267</v>
      </c>
      <c r="BQ156" s="1112">
        <v>7700824</v>
      </c>
      <c r="BR156" s="1112">
        <v>1730707</v>
      </c>
      <c r="BS156" s="1112">
        <v>983170</v>
      </c>
      <c r="BT156" s="298">
        <v>1482432</v>
      </c>
      <c r="BU156" s="298">
        <v>1386413</v>
      </c>
      <c r="BV156" s="298">
        <v>470209</v>
      </c>
      <c r="BW156" s="298">
        <v>519572</v>
      </c>
      <c r="BX156" s="298">
        <v>2139606</v>
      </c>
      <c r="BY156" s="298">
        <v>586771</v>
      </c>
      <c r="BZ156" s="298">
        <v>0</v>
      </c>
      <c r="CA156" s="298">
        <v>3913065</v>
      </c>
      <c r="CB156" s="298">
        <v>49178185</v>
      </c>
      <c r="CC156" s="298">
        <v>22472263</v>
      </c>
      <c r="CD156" s="298">
        <v>820008</v>
      </c>
      <c r="CE156" s="298">
        <v>1099809</v>
      </c>
      <c r="CF156" s="298">
        <v>210928</v>
      </c>
      <c r="CG156" s="298">
        <v>982300</v>
      </c>
      <c r="CH156" s="298">
        <v>42031466</v>
      </c>
      <c r="CI156" s="298">
        <v>8226380</v>
      </c>
      <c r="CJ156" s="298">
        <v>898663</v>
      </c>
      <c r="CK156" s="298">
        <v>2464523</v>
      </c>
      <c r="CL156" s="298">
        <v>812220</v>
      </c>
      <c r="CM156" s="298">
        <v>12372011</v>
      </c>
      <c r="CN156" s="298">
        <v>2158774</v>
      </c>
      <c r="CO156" s="298">
        <v>1488079</v>
      </c>
      <c r="CP156" s="298">
        <v>1743639</v>
      </c>
      <c r="CQ156" s="298">
        <v>9879434</v>
      </c>
    </row>
    <row r="157" spans="1:95" x14ac:dyDescent="0.3">
      <c r="A157" s="270">
        <v>507</v>
      </c>
      <c r="B157" s="270">
        <v>507</v>
      </c>
      <c r="C157" s="270" t="s">
        <v>216</v>
      </c>
      <c r="D157" s="270" t="s">
        <v>473</v>
      </c>
      <c r="E157" s="270">
        <v>-1800</v>
      </c>
      <c r="F157" s="270">
        <v>0</v>
      </c>
      <c r="G157" s="270">
        <v>0</v>
      </c>
      <c r="H157" s="270">
        <v>0</v>
      </c>
      <c r="I157" s="1112">
        <v>0</v>
      </c>
      <c r="J157" s="270">
        <v>0</v>
      </c>
      <c r="K157" s="270">
        <v>0</v>
      </c>
      <c r="L157" s="270">
        <v>0</v>
      </c>
      <c r="M157" s="270">
        <v>0</v>
      </c>
      <c r="N157" s="270">
        <v>0</v>
      </c>
      <c r="O157" s="270">
        <v>0</v>
      </c>
      <c r="P157" s="270">
        <v>0</v>
      </c>
      <c r="Q157" s="270">
        <v>0</v>
      </c>
      <c r="R157" s="270">
        <v>0</v>
      </c>
      <c r="S157" s="270">
        <v>0</v>
      </c>
      <c r="T157" s="270">
        <v>0</v>
      </c>
      <c r="U157" s="270">
        <v>5721163</v>
      </c>
      <c r="V157" s="270">
        <v>0</v>
      </c>
      <c r="W157" s="1112">
        <v>0</v>
      </c>
      <c r="X157" s="270">
        <v>0</v>
      </c>
      <c r="Y157" s="270">
        <v>0</v>
      </c>
      <c r="Z157" s="270">
        <v>0</v>
      </c>
      <c r="AA157" s="270">
        <v>0</v>
      </c>
      <c r="AB157" s="270">
        <v>0</v>
      </c>
      <c r="AC157" s="270">
        <v>0</v>
      </c>
      <c r="AD157" s="270">
        <v>0</v>
      </c>
      <c r="AE157" s="1112">
        <v>0</v>
      </c>
      <c r="AF157" s="270">
        <v>0</v>
      </c>
      <c r="AG157" s="270">
        <v>0</v>
      </c>
      <c r="AH157" s="270">
        <v>0</v>
      </c>
      <c r="AI157" s="270">
        <v>0</v>
      </c>
      <c r="AJ157" s="270">
        <v>0</v>
      </c>
      <c r="AK157" s="270">
        <v>0</v>
      </c>
      <c r="AL157" s="270">
        <v>0</v>
      </c>
      <c r="AM157" s="270">
        <v>0</v>
      </c>
      <c r="AN157" s="270">
        <v>0</v>
      </c>
      <c r="AO157" s="270">
        <v>0</v>
      </c>
      <c r="AP157" s="270">
        <v>2</v>
      </c>
      <c r="AQ157" s="270">
        <v>0</v>
      </c>
      <c r="AR157" s="270">
        <v>0</v>
      </c>
      <c r="AS157" s="270">
        <v>0</v>
      </c>
      <c r="AT157" s="270">
        <v>0</v>
      </c>
      <c r="AU157" s="270">
        <v>0</v>
      </c>
      <c r="AV157" s="270">
        <v>0</v>
      </c>
      <c r="AW157" s="270">
        <v>0</v>
      </c>
      <c r="AX157" s="270">
        <v>0</v>
      </c>
      <c r="AY157" s="270">
        <v>0</v>
      </c>
      <c r="AZ157" s="270">
        <v>0</v>
      </c>
      <c r="BA157" s="270">
        <v>-412464</v>
      </c>
      <c r="BB157" s="270">
        <v>-1</v>
      </c>
      <c r="BC157" s="270">
        <v>0</v>
      </c>
      <c r="BD157" s="270">
        <v>0</v>
      </c>
      <c r="BE157" s="270">
        <v>0</v>
      </c>
      <c r="BF157" s="270">
        <v>0</v>
      </c>
      <c r="BG157" s="270">
        <v>0</v>
      </c>
      <c r="BH157" s="270">
        <v>0</v>
      </c>
      <c r="BI157" s="270">
        <v>-2</v>
      </c>
      <c r="BJ157" s="270">
        <v>0</v>
      </c>
      <c r="BK157" s="270">
        <v>0</v>
      </c>
      <c r="BL157" s="270">
        <v>0</v>
      </c>
      <c r="BM157" s="270">
        <v>0</v>
      </c>
      <c r="BN157" s="270">
        <v>0</v>
      </c>
      <c r="BO157" s="270">
        <v>0</v>
      </c>
      <c r="BP157" s="270">
        <v>0</v>
      </c>
      <c r="BQ157" s="270">
        <v>0</v>
      </c>
      <c r="BR157" s="270">
        <v>0</v>
      </c>
      <c r="BS157" s="270">
        <v>0</v>
      </c>
      <c r="BT157" s="298">
        <v>0</v>
      </c>
      <c r="BU157" s="298">
        <v>0</v>
      </c>
      <c r="BV157" s="298">
        <v>0</v>
      </c>
      <c r="BW157" s="298">
        <v>0</v>
      </c>
      <c r="BX157" s="298">
        <v>-34535</v>
      </c>
      <c r="BY157" s="298">
        <v>0</v>
      </c>
      <c r="BZ157" s="298">
        <v>0</v>
      </c>
      <c r="CA157" s="298">
        <v>-9022</v>
      </c>
      <c r="CB157" s="298">
        <v>-23433</v>
      </c>
      <c r="CC157" s="298">
        <v>0</v>
      </c>
      <c r="CD157" s="298">
        <v>3</v>
      </c>
      <c r="CE157" s="298">
        <v>0</v>
      </c>
      <c r="CF157" s="298">
        <v>0</v>
      </c>
      <c r="CG157" s="298">
        <v>0</v>
      </c>
      <c r="CH157" s="298">
        <v>0</v>
      </c>
      <c r="CI157" s="298">
        <v>1713</v>
      </c>
      <c r="CJ157" s="298">
        <v>0</v>
      </c>
      <c r="CK157" s="298">
        <v>0</v>
      </c>
      <c r="CL157" s="298">
        <v>-1</v>
      </c>
      <c r="CM157" s="298">
        <v>0</v>
      </c>
      <c r="CN157" s="298">
        <v>0</v>
      </c>
      <c r="CO157" s="298">
        <v>0</v>
      </c>
      <c r="CP157" s="298">
        <v>0</v>
      </c>
      <c r="CQ157" s="298">
        <v>0</v>
      </c>
    </row>
    <row r="158" spans="1:95" x14ac:dyDescent="0.3">
      <c r="A158" s="270">
        <v>508</v>
      </c>
      <c r="B158" s="270">
        <v>508</v>
      </c>
      <c r="C158" s="270" t="s">
        <v>213</v>
      </c>
      <c r="D158" s="270" t="s">
        <v>474</v>
      </c>
      <c r="E158" s="270">
        <v>0</v>
      </c>
      <c r="F158" s="270">
        <v>0</v>
      </c>
      <c r="G158" s="270">
        <v>0</v>
      </c>
      <c r="H158" s="270">
        <v>0</v>
      </c>
      <c r="I158" s="270">
        <v>0</v>
      </c>
      <c r="J158" s="270">
        <v>0</v>
      </c>
      <c r="K158" s="270">
        <v>0</v>
      </c>
      <c r="L158" s="270">
        <v>0</v>
      </c>
      <c r="M158" s="270">
        <v>0</v>
      </c>
      <c r="N158" s="270">
        <v>0</v>
      </c>
      <c r="O158" s="270">
        <v>0</v>
      </c>
      <c r="P158" s="270">
        <v>0</v>
      </c>
      <c r="Q158" s="270">
        <v>0</v>
      </c>
      <c r="R158" s="270">
        <v>0</v>
      </c>
      <c r="S158" s="270">
        <v>0</v>
      </c>
      <c r="T158" s="270">
        <v>0</v>
      </c>
      <c r="U158" s="270">
        <v>0</v>
      </c>
      <c r="V158" s="270">
        <v>0</v>
      </c>
      <c r="W158" s="270">
        <v>0</v>
      </c>
      <c r="X158" s="270">
        <v>0</v>
      </c>
      <c r="Y158" s="270">
        <v>0</v>
      </c>
      <c r="Z158" s="270">
        <v>0</v>
      </c>
      <c r="AA158" s="270">
        <v>0</v>
      </c>
      <c r="AB158" s="270">
        <v>0</v>
      </c>
      <c r="AC158" s="270">
        <v>0</v>
      </c>
      <c r="AD158" s="270">
        <v>0</v>
      </c>
      <c r="AE158" s="270">
        <v>0</v>
      </c>
      <c r="AF158" s="270">
        <v>0</v>
      </c>
      <c r="AG158" s="270">
        <v>0</v>
      </c>
      <c r="AH158" s="270">
        <v>0</v>
      </c>
      <c r="AI158" s="270">
        <v>0</v>
      </c>
      <c r="AJ158" s="270">
        <v>0</v>
      </c>
      <c r="AK158" s="270">
        <v>0</v>
      </c>
      <c r="AL158" s="270">
        <v>0</v>
      </c>
      <c r="AM158" s="270">
        <v>0</v>
      </c>
      <c r="AN158" s="270">
        <v>0</v>
      </c>
      <c r="AO158" s="270">
        <v>0</v>
      </c>
      <c r="AP158" s="270">
        <v>0</v>
      </c>
      <c r="AQ158" s="270">
        <v>0</v>
      </c>
      <c r="AR158" s="270">
        <v>0</v>
      </c>
      <c r="AS158" s="270">
        <v>0</v>
      </c>
      <c r="AT158" s="270">
        <v>0</v>
      </c>
      <c r="AU158" s="270">
        <v>0</v>
      </c>
      <c r="AV158" s="270">
        <v>0</v>
      </c>
      <c r="AW158" s="270">
        <v>0</v>
      </c>
      <c r="AX158" s="270">
        <v>0</v>
      </c>
      <c r="AY158" s="270">
        <v>0</v>
      </c>
      <c r="AZ158" s="270">
        <v>0</v>
      </c>
      <c r="BA158" s="270">
        <v>0</v>
      </c>
      <c r="BB158" s="270">
        <v>0</v>
      </c>
      <c r="BC158" s="270">
        <v>0</v>
      </c>
      <c r="BD158" s="270">
        <v>0</v>
      </c>
      <c r="BE158" s="270">
        <v>0</v>
      </c>
      <c r="BF158" s="270">
        <v>0</v>
      </c>
      <c r="BG158" s="270">
        <v>0</v>
      </c>
      <c r="BH158" s="270">
        <v>0</v>
      </c>
      <c r="BI158" s="270">
        <v>0</v>
      </c>
      <c r="BJ158" s="270">
        <v>0</v>
      </c>
      <c r="BK158" s="270">
        <v>0</v>
      </c>
      <c r="BL158" s="270">
        <v>0</v>
      </c>
      <c r="BM158" s="270">
        <v>0</v>
      </c>
      <c r="BN158" s="270">
        <v>0</v>
      </c>
      <c r="BO158" s="270">
        <v>0</v>
      </c>
      <c r="BP158" s="270">
        <v>0</v>
      </c>
      <c r="BQ158" s="270">
        <v>0</v>
      </c>
      <c r="BR158" s="270">
        <v>0</v>
      </c>
      <c r="BS158" s="270">
        <v>0</v>
      </c>
      <c r="BT158" s="298">
        <v>0</v>
      </c>
      <c r="BU158" s="298">
        <v>0</v>
      </c>
      <c r="BV158" s="298">
        <v>0</v>
      </c>
      <c r="BW158" s="298">
        <v>0</v>
      </c>
      <c r="BX158" s="298">
        <v>0</v>
      </c>
      <c r="BY158" s="298">
        <v>0</v>
      </c>
      <c r="BZ158" s="298">
        <v>0</v>
      </c>
      <c r="CA158" s="298">
        <v>0</v>
      </c>
      <c r="CB158" s="298">
        <v>0</v>
      </c>
      <c r="CC158" s="298">
        <v>0</v>
      </c>
      <c r="CD158" s="298">
        <v>0</v>
      </c>
      <c r="CE158" s="298">
        <v>0</v>
      </c>
      <c r="CF158" s="298">
        <v>0</v>
      </c>
      <c r="CG158" s="298">
        <v>0</v>
      </c>
      <c r="CH158" s="298">
        <v>0</v>
      </c>
      <c r="CI158" s="298">
        <v>0</v>
      </c>
      <c r="CJ158" s="298">
        <v>0</v>
      </c>
      <c r="CK158" s="298">
        <v>0</v>
      </c>
      <c r="CL158" s="298">
        <v>0</v>
      </c>
      <c r="CM158" s="298">
        <v>0</v>
      </c>
      <c r="CN158" s="298">
        <v>0</v>
      </c>
      <c r="CO158" s="298">
        <v>0</v>
      </c>
      <c r="CP158" s="298">
        <v>0</v>
      </c>
      <c r="CQ158" s="298">
        <v>0</v>
      </c>
    </row>
    <row r="159" spans="1:95" x14ac:dyDescent="0.3">
      <c r="A159" s="270">
        <v>509</v>
      </c>
      <c r="B159" s="270">
        <v>509</v>
      </c>
      <c r="C159" s="270" t="s">
        <v>214</v>
      </c>
      <c r="D159" s="270" t="s">
        <v>475</v>
      </c>
      <c r="E159" s="270">
        <v>0</v>
      </c>
      <c r="F159" s="270">
        <v>0</v>
      </c>
      <c r="G159" s="270">
        <v>0</v>
      </c>
      <c r="H159" s="270">
        <v>0</v>
      </c>
      <c r="I159" s="270">
        <v>0</v>
      </c>
      <c r="J159" s="270">
        <v>0</v>
      </c>
      <c r="K159" s="270">
        <v>0</v>
      </c>
      <c r="L159" s="270">
        <v>0</v>
      </c>
      <c r="M159" s="270">
        <v>0</v>
      </c>
      <c r="N159" s="270">
        <v>0</v>
      </c>
      <c r="O159" s="270">
        <v>0</v>
      </c>
      <c r="P159" s="270">
        <v>0</v>
      </c>
      <c r="Q159" s="270">
        <v>0</v>
      </c>
      <c r="R159" s="270">
        <v>0</v>
      </c>
      <c r="S159" s="270">
        <v>0</v>
      </c>
      <c r="T159" s="270">
        <v>0</v>
      </c>
      <c r="U159" s="270">
        <v>0</v>
      </c>
      <c r="V159" s="270">
        <v>0</v>
      </c>
      <c r="W159" s="270">
        <v>0</v>
      </c>
      <c r="X159" s="270">
        <v>0</v>
      </c>
      <c r="Y159" s="270">
        <v>0</v>
      </c>
      <c r="Z159" s="270">
        <v>0</v>
      </c>
      <c r="AA159" s="270">
        <v>0</v>
      </c>
      <c r="AB159" s="270">
        <v>0</v>
      </c>
      <c r="AC159" s="270">
        <v>0</v>
      </c>
      <c r="AD159" s="270">
        <v>0</v>
      </c>
      <c r="AE159" s="270">
        <v>0</v>
      </c>
      <c r="AF159" s="270">
        <v>0</v>
      </c>
      <c r="AG159" s="270">
        <v>0</v>
      </c>
      <c r="AH159" s="270">
        <v>0</v>
      </c>
      <c r="AI159" s="270">
        <v>0</v>
      </c>
      <c r="AJ159" s="270">
        <v>0</v>
      </c>
      <c r="AK159" s="270">
        <v>0</v>
      </c>
      <c r="AL159" s="270">
        <v>0</v>
      </c>
      <c r="AM159" s="270">
        <v>0</v>
      </c>
      <c r="AN159" s="270">
        <v>0</v>
      </c>
      <c r="AO159" s="270">
        <v>0</v>
      </c>
      <c r="AP159" s="270">
        <v>0</v>
      </c>
      <c r="AQ159" s="270">
        <v>0</v>
      </c>
      <c r="AR159" s="270">
        <v>0</v>
      </c>
      <c r="AS159" s="270">
        <v>0</v>
      </c>
      <c r="AT159" s="270">
        <v>0</v>
      </c>
      <c r="AU159" s="270">
        <v>0</v>
      </c>
      <c r="AV159" s="270">
        <v>0</v>
      </c>
      <c r="AW159" s="270">
        <v>0</v>
      </c>
      <c r="AX159" s="270">
        <v>0</v>
      </c>
      <c r="AY159" s="270">
        <v>0</v>
      </c>
      <c r="AZ159" s="270">
        <v>0</v>
      </c>
      <c r="BA159" s="270">
        <v>0</v>
      </c>
      <c r="BB159" s="270">
        <v>0</v>
      </c>
      <c r="BC159" s="270">
        <v>0</v>
      </c>
      <c r="BD159" s="270">
        <v>0</v>
      </c>
      <c r="BE159" s="270">
        <v>0</v>
      </c>
      <c r="BF159" s="270">
        <v>0</v>
      </c>
      <c r="BG159" s="270">
        <v>0</v>
      </c>
      <c r="BH159" s="270">
        <v>0</v>
      </c>
      <c r="BI159" s="270">
        <v>0</v>
      </c>
      <c r="BJ159" s="270">
        <v>0</v>
      </c>
      <c r="BK159" s="270">
        <v>0</v>
      </c>
      <c r="BL159" s="270">
        <v>0</v>
      </c>
      <c r="BM159" s="270">
        <v>0</v>
      </c>
      <c r="BN159" s="270">
        <v>0</v>
      </c>
      <c r="BO159" s="270">
        <v>0</v>
      </c>
      <c r="BP159" s="270">
        <v>0</v>
      </c>
      <c r="BQ159" s="270">
        <v>0</v>
      </c>
      <c r="BR159" s="270">
        <v>0</v>
      </c>
      <c r="BS159" s="270">
        <v>0</v>
      </c>
      <c r="BT159" s="298">
        <v>0</v>
      </c>
      <c r="BU159" s="298">
        <v>0</v>
      </c>
      <c r="BV159" s="298">
        <v>0</v>
      </c>
      <c r="BW159" s="298">
        <v>0</v>
      </c>
      <c r="BX159" s="298">
        <v>0</v>
      </c>
      <c r="BY159" s="298">
        <v>0</v>
      </c>
      <c r="BZ159" s="298">
        <v>0</v>
      </c>
      <c r="CA159" s="298">
        <v>0</v>
      </c>
      <c r="CB159" s="298">
        <v>0</v>
      </c>
      <c r="CC159" s="298">
        <v>0</v>
      </c>
      <c r="CD159" s="298">
        <v>0</v>
      </c>
      <c r="CE159" s="298">
        <v>0</v>
      </c>
      <c r="CF159" s="298">
        <v>0</v>
      </c>
      <c r="CG159" s="298">
        <v>0</v>
      </c>
      <c r="CH159" s="298">
        <v>0</v>
      </c>
      <c r="CI159" s="298">
        <v>0</v>
      </c>
      <c r="CJ159" s="298">
        <v>0</v>
      </c>
      <c r="CK159" s="298">
        <v>0</v>
      </c>
      <c r="CL159" s="298">
        <v>0</v>
      </c>
      <c r="CM159" s="298">
        <v>0</v>
      </c>
      <c r="CN159" s="298">
        <v>0</v>
      </c>
      <c r="CO159" s="298">
        <v>0</v>
      </c>
      <c r="CP159" s="298">
        <v>0</v>
      </c>
      <c r="CQ159" s="298">
        <v>0</v>
      </c>
    </row>
    <row r="160" spans="1:95" x14ac:dyDescent="0.3">
      <c r="A160" s="270">
        <v>510</v>
      </c>
      <c r="B160" s="270">
        <v>510</v>
      </c>
      <c r="C160" s="270" t="s">
        <v>220</v>
      </c>
      <c r="D160" s="270" t="s">
        <v>476</v>
      </c>
      <c r="E160" s="1112">
        <v>0</v>
      </c>
      <c r="F160" s="270">
        <v>0</v>
      </c>
      <c r="G160" s="270">
        <v>0</v>
      </c>
      <c r="H160" s="1112">
        <v>0</v>
      </c>
      <c r="I160" s="270">
        <v>3945</v>
      </c>
      <c r="J160" s="270">
        <v>0</v>
      </c>
      <c r="K160" s="270">
        <v>268976</v>
      </c>
      <c r="L160" s="270">
        <v>0</v>
      </c>
      <c r="M160" s="1112">
        <v>0</v>
      </c>
      <c r="N160" s="270">
        <v>0</v>
      </c>
      <c r="O160" s="270">
        <v>0</v>
      </c>
      <c r="P160" s="270">
        <v>0</v>
      </c>
      <c r="Q160" s="1112">
        <v>0</v>
      </c>
      <c r="R160" s="1112">
        <v>0</v>
      </c>
      <c r="S160" s="270">
        <v>0</v>
      </c>
      <c r="T160" s="270">
        <v>0</v>
      </c>
      <c r="U160" s="1112">
        <v>0</v>
      </c>
      <c r="V160" s="270">
        <v>0</v>
      </c>
      <c r="W160" s="270">
        <v>0</v>
      </c>
      <c r="X160" s="270">
        <v>0</v>
      </c>
      <c r="Y160" s="1112">
        <v>0</v>
      </c>
      <c r="Z160" s="270">
        <v>0</v>
      </c>
      <c r="AA160" s="270">
        <v>77777</v>
      </c>
      <c r="AB160" s="270">
        <v>0</v>
      </c>
      <c r="AC160" s="1112">
        <v>0</v>
      </c>
      <c r="AD160" s="1112">
        <v>0</v>
      </c>
      <c r="AE160" s="270">
        <v>300992</v>
      </c>
      <c r="AF160" s="270">
        <v>0</v>
      </c>
      <c r="AG160" s="270">
        <v>0</v>
      </c>
      <c r="AH160" s="270">
        <v>0</v>
      </c>
      <c r="AI160" s="270">
        <v>0</v>
      </c>
      <c r="AJ160" s="270">
        <v>0</v>
      </c>
      <c r="AK160" s="1112">
        <v>0</v>
      </c>
      <c r="AL160" s="270">
        <v>21600</v>
      </c>
      <c r="AM160" s="270">
        <v>0</v>
      </c>
      <c r="AN160" s="1112">
        <v>0</v>
      </c>
      <c r="AO160" s="270">
        <v>0</v>
      </c>
      <c r="AP160" s="270">
        <v>253214</v>
      </c>
      <c r="AQ160" s="270">
        <v>8019</v>
      </c>
      <c r="AR160" s="1112">
        <v>0</v>
      </c>
      <c r="AS160" s="1112">
        <v>0</v>
      </c>
      <c r="AT160" s="1112">
        <v>0</v>
      </c>
      <c r="AU160" s="1112">
        <v>0</v>
      </c>
      <c r="AV160" s="270">
        <v>0</v>
      </c>
      <c r="AW160" s="1112">
        <v>160033</v>
      </c>
      <c r="AX160" s="1112">
        <v>0</v>
      </c>
      <c r="AY160" s="1112">
        <v>0</v>
      </c>
      <c r="AZ160" s="270">
        <v>0</v>
      </c>
      <c r="BA160" s="270">
        <v>28000</v>
      </c>
      <c r="BB160" s="270">
        <v>0</v>
      </c>
      <c r="BC160" s="1112">
        <v>9820</v>
      </c>
      <c r="BD160" s="270">
        <v>0</v>
      </c>
      <c r="BE160" s="270">
        <v>0</v>
      </c>
      <c r="BF160" s="1112">
        <v>56735</v>
      </c>
      <c r="BG160" s="270">
        <v>0</v>
      </c>
      <c r="BH160" s="270">
        <v>183099</v>
      </c>
      <c r="BI160" s="270">
        <v>0</v>
      </c>
      <c r="BJ160" s="270">
        <v>0</v>
      </c>
      <c r="BK160" s="270">
        <v>0</v>
      </c>
      <c r="BL160" s="270">
        <v>200557</v>
      </c>
      <c r="BM160" s="270">
        <v>0</v>
      </c>
      <c r="BN160" s="1112">
        <v>0</v>
      </c>
      <c r="BO160" s="270">
        <v>0</v>
      </c>
      <c r="BP160" s="270">
        <v>53696</v>
      </c>
      <c r="BQ160" s="1112">
        <v>0</v>
      </c>
      <c r="BR160" s="1112">
        <v>0</v>
      </c>
      <c r="BS160" s="270">
        <v>0</v>
      </c>
      <c r="BT160" s="298">
        <v>0</v>
      </c>
      <c r="BU160" s="298">
        <v>0</v>
      </c>
      <c r="BV160" s="298">
        <v>0</v>
      </c>
      <c r="BW160" s="298">
        <v>9179</v>
      </c>
      <c r="BX160" s="298">
        <v>0</v>
      </c>
      <c r="BY160" s="298">
        <v>0</v>
      </c>
      <c r="BZ160" s="298">
        <v>0</v>
      </c>
      <c r="CA160" s="298">
        <v>0</v>
      </c>
      <c r="CB160" s="298">
        <v>0</v>
      </c>
      <c r="CC160" s="298">
        <v>193652</v>
      </c>
      <c r="CD160" s="298">
        <v>0</v>
      </c>
      <c r="CE160" s="298">
        <v>0</v>
      </c>
      <c r="CF160" s="298">
        <v>0</v>
      </c>
      <c r="CG160" s="298">
        <v>0</v>
      </c>
      <c r="CH160" s="298">
        <v>3532660</v>
      </c>
      <c r="CI160" s="298">
        <v>98570</v>
      </c>
      <c r="CJ160" s="298">
        <v>8870</v>
      </c>
      <c r="CK160" s="298">
        <v>0</v>
      </c>
      <c r="CL160" s="298">
        <v>0</v>
      </c>
      <c r="CM160" s="298">
        <v>100251</v>
      </c>
      <c r="CN160" s="298">
        <v>119594</v>
      </c>
      <c r="CO160" s="298">
        <v>0</v>
      </c>
      <c r="CP160" s="298">
        <v>0</v>
      </c>
      <c r="CQ160" s="298">
        <v>0</v>
      </c>
    </row>
    <row r="161" spans="1:95" x14ac:dyDescent="0.3">
      <c r="A161" s="270">
        <v>511</v>
      </c>
      <c r="B161" s="270">
        <v>511</v>
      </c>
      <c r="C161" s="270" t="s">
        <v>225</v>
      </c>
      <c r="D161" s="270" t="s">
        <v>477</v>
      </c>
      <c r="E161" s="270">
        <v>0</v>
      </c>
      <c r="F161" s="270">
        <v>0</v>
      </c>
      <c r="G161" s="270">
        <v>0</v>
      </c>
      <c r="H161" s="1112">
        <v>0</v>
      </c>
      <c r="I161" s="270">
        <v>95578</v>
      </c>
      <c r="J161" s="270">
        <v>0</v>
      </c>
      <c r="K161" s="270">
        <v>2368999</v>
      </c>
      <c r="L161" s="270">
        <v>0</v>
      </c>
      <c r="M161" s="1112">
        <v>0</v>
      </c>
      <c r="N161" s="270">
        <v>0</v>
      </c>
      <c r="O161" s="270">
        <v>0</v>
      </c>
      <c r="P161" s="270">
        <v>0</v>
      </c>
      <c r="Q161" s="270">
        <v>0</v>
      </c>
      <c r="R161" s="270">
        <v>0</v>
      </c>
      <c r="S161" s="270">
        <v>0</v>
      </c>
      <c r="T161" s="270">
        <v>0</v>
      </c>
      <c r="U161" s="270">
        <v>0</v>
      </c>
      <c r="V161" s="270">
        <v>0</v>
      </c>
      <c r="W161" s="270">
        <v>0</v>
      </c>
      <c r="X161" s="270">
        <v>0</v>
      </c>
      <c r="Y161" s="1112">
        <v>0</v>
      </c>
      <c r="Z161" s="270">
        <v>0</v>
      </c>
      <c r="AA161" s="270">
        <v>1358385</v>
      </c>
      <c r="AB161" s="270">
        <v>0</v>
      </c>
      <c r="AC161" s="270">
        <v>0</v>
      </c>
      <c r="AD161" s="270">
        <v>0</v>
      </c>
      <c r="AE161" s="270">
        <v>0</v>
      </c>
      <c r="AF161" s="270">
        <v>0</v>
      </c>
      <c r="AG161" s="270">
        <v>0</v>
      </c>
      <c r="AH161" s="270">
        <v>0</v>
      </c>
      <c r="AI161" s="270">
        <v>0</v>
      </c>
      <c r="AJ161" s="270">
        <v>0</v>
      </c>
      <c r="AK161" s="270">
        <v>0</v>
      </c>
      <c r="AL161" s="270">
        <v>0</v>
      </c>
      <c r="AM161" s="270">
        <v>0</v>
      </c>
      <c r="AN161" s="1112">
        <v>0</v>
      </c>
      <c r="AO161" s="270">
        <v>0</v>
      </c>
      <c r="AP161" s="270">
        <v>0</v>
      </c>
      <c r="AQ161" s="270">
        <v>0</v>
      </c>
      <c r="AR161" s="270">
        <v>0</v>
      </c>
      <c r="AS161" s="270">
        <v>0</v>
      </c>
      <c r="AT161" s="270">
        <v>0</v>
      </c>
      <c r="AU161" s="270">
        <v>0</v>
      </c>
      <c r="AV161" s="270">
        <v>0</v>
      </c>
      <c r="AW161" s="270">
        <v>0</v>
      </c>
      <c r="AX161" s="270">
        <v>0</v>
      </c>
      <c r="AY161" s="270">
        <v>1626650</v>
      </c>
      <c r="AZ161" s="270">
        <v>0</v>
      </c>
      <c r="BA161" s="270">
        <v>0</v>
      </c>
      <c r="BB161" s="270">
        <v>0</v>
      </c>
      <c r="BC161" s="270">
        <v>0</v>
      </c>
      <c r="BD161" s="270">
        <v>0</v>
      </c>
      <c r="BE161" s="270">
        <v>0</v>
      </c>
      <c r="BF161" s="270">
        <v>0</v>
      </c>
      <c r="BG161" s="270">
        <v>0</v>
      </c>
      <c r="BH161" s="270">
        <v>1073830</v>
      </c>
      <c r="BI161" s="270">
        <v>0</v>
      </c>
      <c r="BJ161" s="270">
        <v>0</v>
      </c>
      <c r="BK161" s="270">
        <v>0</v>
      </c>
      <c r="BL161" s="270">
        <v>250160</v>
      </c>
      <c r="BM161" s="270">
        <v>0</v>
      </c>
      <c r="BN161" s="270">
        <v>0</v>
      </c>
      <c r="BO161" s="270">
        <v>0</v>
      </c>
      <c r="BP161" s="270">
        <v>0</v>
      </c>
      <c r="BQ161" s="270">
        <v>0</v>
      </c>
      <c r="BR161" s="270">
        <v>0</v>
      </c>
      <c r="BS161" s="270">
        <v>0</v>
      </c>
      <c r="BT161" s="298">
        <v>0</v>
      </c>
      <c r="BU161" s="298">
        <v>0</v>
      </c>
      <c r="BV161" s="298">
        <v>0</v>
      </c>
      <c r="BW161" s="298">
        <v>0</v>
      </c>
      <c r="BX161" s="298">
        <v>0</v>
      </c>
      <c r="BY161" s="298">
        <v>0</v>
      </c>
      <c r="BZ161" s="298">
        <v>0</v>
      </c>
      <c r="CA161" s="298">
        <v>0</v>
      </c>
      <c r="CB161" s="298">
        <v>0</v>
      </c>
      <c r="CC161" s="298">
        <v>1927722</v>
      </c>
      <c r="CD161" s="298">
        <v>0</v>
      </c>
      <c r="CE161" s="298">
        <v>107435</v>
      </c>
      <c r="CF161" s="298">
        <v>0</v>
      </c>
      <c r="CG161" s="298">
        <v>0</v>
      </c>
      <c r="CH161" s="298">
        <v>0</v>
      </c>
      <c r="CI161" s="298">
        <v>627679</v>
      </c>
      <c r="CJ161" s="298">
        <v>0</v>
      </c>
      <c r="CK161" s="298">
        <v>0</v>
      </c>
      <c r="CL161" s="298">
        <v>0</v>
      </c>
      <c r="CM161" s="298">
        <v>0</v>
      </c>
      <c r="CN161" s="298">
        <v>0</v>
      </c>
      <c r="CO161" s="298">
        <v>0</v>
      </c>
      <c r="CP161" s="298">
        <v>0</v>
      </c>
      <c r="CQ161" s="298">
        <v>0</v>
      </c>
    </row>
    <row r="162" spans="1:95" x14ac:dyDescent="0.3">
      <c r="A162" s="270">
        <v>512</v>
      </c>
      <c r="B162" s="270">
        <v>512</v>
      </c>
      <c r="C162" s="270" t="s">
        <v>252</v>
      </c>
      <c r="D162" s="270" t="s">
        <v>478</v>
      </c>
      <c r="E162" s="270">
        <v>0</v>
      </c>
      <c r="F162" s="270">
        <v>0</v>
      </c>
      <c r="G162" s="270">
        <v>0</v>
      </c>
      <c r="H162" s="270">
        <v>0</v>
      </c>
      <c r="I162" s="270">
        <v>0</v>
      </c>
      <c r="J162" s="270">
        <v>0</v>
      </c>
      <c r="K162" s="270">
        <v>1113</v>
      </c>
      <c r="L162" s="270">
        <v>0</v>
      </c>
      <c r="M162" s="1112">
        <v>0</v>
      </c>
      <c r="N162" s="270">
        <v>0</v>
      </c>
      <c r="O162" s="1112">
        <v>0</v>
      </c>
      <c r="P162" s="270">
        <v>0</v>
      </c>
      <c r="Q162" s="270">
        <v>0</v>
      </c>
      <c r="R162" s="1112">
        <v>0</v>
      </c>
      <c r="S162" s="270">
        <v>0</v>
      </c>
      <c r="T162" s="1112">
        <v>0</v>
      </c>
      <c r="U162" s="270">
        <v>2181</v>
      </c>
      <c r="V162" s="270">
        <v>0</v>
      </c>
      <c r="W162" s="1112">
        <v>0</v>
      </c>
      <c r="X162" s="270">
        <v>0</v>
      </c>
      <c r="Y162" s="270">
        <v>0</v>
      </c>
      <c r="Z162" s="270">
        <v>0</v>
      </c>
      <c r="AA162" s="270">
        <v>0</v>
      </c>
      <c r="AB162" s="270">
        <v>0</v>
      </c>
      <c r="AC162" s="270">
        <v>0</v>
      </c>
      <c r="AD162" s="270">
        <v>0</v>
      </c>
      <c r="AE162" s="270">
        <v>0</v>
      </c>
      <c r="AF162" s="270">
        <v>0</v>
      </c>
      <c r="AG162" s="270">
        <v>0</v>
      </c>
      <c r="AH162" s="270">
        <v>362</v>
      </c>
      <c r="AI162" s="270">
        <v>684</v>
      </c>
      <c r="AJ162" s="270">
        <v>0</v>
      </c>
      <c r="AK162" s="270">
        <v>0</v>
      </c>
      <c r="AL162" s="270">
        <v>0</v>
      </c>
      <c r="AM162" s="270">
        <v>0</v>
      </c>
      <c r="AN162" s="1112">
        <v>0</v>
      </c>
      <c r="AO162" s="270">
        <v>0</v>
      </c>
      <c r="AP162" s="270">
        <v>0</v>
      </c>
      <c r="AQ162" s="270">
        <v>0</v>
      </c>
      <c r="AR162" s="270">
        <v>0</v>
      </c>
      <c r="AS162" s="270">
        <v>0</v>
      </c>
      <c r="AT162" s="270">
        <v>0</v>
      </c>
      <c r="AU162" s="270">
        <v>0</v>
      </c>
      <c r="AV162" s="270">
        <v>0</v>
      </c>
      <c r="AW162" s="1112">
        <v>0</v>
      </c>
      <c r="AX162" s="270">
        <v>0</v>
      </c>
      <c r="AY162" s="270">
        <v>0</v>
      </c>
      <c r="AZ162" s="270">
        <v>0</v>
      </c>
      <c r="BA162" s="270">
        <v>0</v>
      </c>
      <c r="BB162" s="270">
        <v>0</v>
      </c>
      <c r="BC162" s="270">
        <v>2665</v>
      </c>
      <c r="BD162" s="270">
        <v>0</v>
      </c>
      <c r="BE162" s="270">
        <v>0</v>
      </c>
      <c r="BF162" s="270">
        <v>3940</v>
      </c>
      <c r="BG162" s="270">
        <v>0</v>
      </c>
      <c r="BH162" s="270">
        <v>0</v>
      </c>
      <c r="BI162" s="1112">
        <v>0</v>
      </c>
      <c r="BJ162" s="270">
        <v>0</v>
      </c>
      <c r="BK162" s="270">
        <v>0</v>
      </c>
      <c r="BL162" s="270">
        <v>0</v>
      </c>
      <c r="BM162" s="270">
        <v>0</v>
      </c>
      <c r="BN162" s="270">
        <v>0</v>
      </c>
      <c r="BO162" s="270">
        <v>0</v>
      </c>
      <c r="BP162" s="270">
        <v>0</v>
      </c>
      <c r="BQ162" s="270">
        <v>0</v>
      </c>
      <c r="BR162" s="270">
        <v>0</v>
      </c>
      <c r="BS162" s="270">
        <v>0</v>
      </c>
      <c r="BT162" s="298">
        <v>0</v>
      </c>
      <c r="BU162" s="298">
        <v>0</v>
      </c>
      <c r="BV162" s="298">
        <v>0</v>
      </c>
      <c r="BW162" s="298">
        <v>0</v>
      </c>
      <c r="BX162" s="298">
        <v>0</v>
      </c>
      <c r="BY162" s="298">
        <v>0</v>
      </c>
      <c r="BZ162" s="298">
        <v>0</v>
      </c>
      <c r="CA162" s="298">
        <v>855092</v>
      </c>
      <c r="CB162" s="298">
        <v>3526147</v>
      </c>
      <c r="CC162" s="298">
        <v>6351</v>
      </c>
      <c r="CD162" s="298">
        <v>27185</v>
      </c>
      <c r="CE162" s="298">
        <v>0</v>
      </c>
      <c r="CF162" s="298">
        <v>0</v>
      </c>
      <c r="CG162" s="298">
        <v>0</v>
      </c>
      <c r="CH162" s="298">
        <v>243858843</v>
      </c>
      <c r="CI162" s="298">
        <v>0</v>
      </c>
      <c r="CJ162" s="298">
        <v>0</v>
      </c>
      <c r="CK162" s="298">
        <v>0</v>
      </c>
      <c r="CL162" s="298">
        <v>0</v>
      </c>
      <c r="CM162" s="298">
        <v>0</v>
      </c>
      <c r="CN162" s="298">
        <v>0</v>
      </c>
      <c r="CO162" s="298">
        <v>0</v>
      </c>
      <c r="CP162" s="298">
        <v>0</v>
      </c>
      <c r="CQ162" s="298">
        <v>0</v>
      </c>
    </row>
    <row r="163" spans="1:95" x14ac:dyDescent="0.3">
      <c r="A163" s="270">
        <v>513</v>
      </c>
      <c r="B163" s="270">
        <v>513</v>
      </c>
      <c r="C163" s="270" t="s">
        <v>262</v>
      </c>
      <c r="D163" s="270" t="s">
        <v>479</v>
      </c>
      <c r="E163" s="270">
        <v>0</v>
      </c>
      <c r="F163" s="270">
        <v>0</v>
      </c>
      <c r="G163" s="270">
        <v>0</v>
      </c>
      <c r="H163" s="1112">
        <v>0</v>
      </c>
      <c r="I163" s="270">
        <v>0</v>
      </c>
      <c r="J163" s="270">
        <v>0</v>
      </c>
      <c r="K163" s="270">
        <v>0</v>
      </c>
      <c r="L163" s="270">
        <v>0</v>
      </c>
      <c r="M163" s="270">
        <v>0</v>
      </c>
      <c r="N163" s="270">
        <v>0</v>
      </c>
      <c r="O163" s="270">
        <v>0</v>
      </c>
      <c r="P163" s="270">
        <v>0</v>
      </c>
      <c r="Q163" s="270">
        <v>0</v>
      </c>
      <c r="R163" s="270">
        <v>0</v>
      </c>
      <c r="S163" s="270">
        <v>0</v>
      </c>
      <c r="T163" s="270">
        <v>0</v>
      </c>
      <c r="U163" s="270">
        <v>0</v>
      </c>
      <c r="V163" s="270">
        <v>0</v>
      </c>
      <c r="W163" s="270">
        <v>0</v>
      </c>
      <c r="X163" s="270">
        <v>0</v>
      </c>
      <c r="Y163" s="270">
        <v>0</v>
      </c>
      <c r="Z163" s="270">
        <v>0</v>
      </c>
      <c r="AA163" s="270">
        <v>0</v>
      </c>
      <c r="AB163" s="270">
        <v>0</v>
      </c>
      <c r="AC163" s="270">
        <v>0</v>
      </c>
      <c r="AD163" s="270">
        <v>0</v>
      </c>
      <c r="AE163" s="270">
        <v>0</v>
      </c>
      <c r="AF163" s="270">
        <v>0</v>
      </c>
      <c r="AG163" s="270">
        <v>0</v>
      </c>
      <c r="AH163" s="270">
        <v>0</v>
      </c>
      <c r="AI163" s="270">
        <v>0</v>
      </c>
      <c r="AJ163" s="270">
        <v>0</v>
      </c>
      <c r="AK163" s="270">
        <v>0</v>
      </c>
      <c r="AL163" s="270">
        <v>0</v>
      </c>
      <c r="AM163" s="270">
        <v>0</v>
      </c>
      <c r="AN163" s="270">
        <v>0</v>
      </c>
      <c r="AO163" s="270">
        <v>0</v>
      </c>
      <c r="AP163" s="270">
        <v>0</v>
      </c>
      <c r="AQ163" s="270">
        <v>0</v>
      </c>
      <c r="AR163" s="270">
        <v>0</v>
      </c>
      <c r="AS163" s="270">
        <v>0</v>
      </c>
      <c r="AT163" s="270">
        <v>0</v>
      </c>
      <c r="AU163" s="270">
        <v>0</v>
      </c>
      <c r="AV163" s="270">
        <v>0</v>
      </c>
      <c r="AW163" s="270">
        <v>0</v>
      </c>
      <c r="AX163" s="270">
        <v>0</v>
      </c>
      <c r="AY163" s="270">
        <v>0</v>
      </c>
      <c r="AZ163" s="270">
        <v>0</v>
      </c>
      <c r="BA163" s="270">
        <v>0</v>
      </c>
      <c r="BB163" s="270">
        <v>0</v>
      </c>
      <c r="BC163" s="270">
        <v>0</v>
      </c>
      <c r="BD163" s="270">
        <v>0</v>
      </c>
      <c r="BE163" s="270">
        <v>0</v>
      </c>
      <c r="BF163" s="270">
        <v>0</v>
      </c>
      <c r="BG163" s="270">
        <v>0</v>
      </c>
      <c r="BH163" s="270">
        <v>0</v>
      </c>
      <c r="BI163" s="270">
        <v>0</v>
      </c>
      <c r="BJ163" s="270">
        <v>0</v>
      </c>
      <c r="BK163" s="270">
        <v>0</v>
      </c>
      <c r="BL163" s="270">
        <v>0</v>
      </c>
      <c r="BM163" s="270">
        <v>0</v>
      </c>
      <c r="BN163" s="270">
        <v>0</v>
      </c>
      <c r="BO163" s="270">
        <v>0</v>
      </c>
      <c r="BP163" s="270">
        <v>0</v>
      </c>
      <c r="BQ163" s="270">
        <v>0</v>
      </c>
      <c r="BR163" s="270">
        <v>0</v>
      </c>
      <c r="BS163" s="270">
        <v>0</v>
      </c>
      <c r="BT163" s="298">
        <v>0</v>
      </c>
      <c r="BU163" s="298">
        <v>0</v>
      </c>
      <c r="BV163" s="298">
        <v>0</v>
      </c>
      <c r="BW163" s="298">
        <v>0</v>
      </c>
      <c r="BX163" s="298">
        <v>0</v>
      </c>
      <c r="BY163" s="298">
        <v>0</v>
      </c>
      <c r="BZ163" s="298">
        <v>0</v>
      </c>
      <c r="CA163" s="298">
        <v>0</v>
      </c>
      <c r="CB163" s="298">
        <v>0</v>
      </c>
      <c r="CC163" s="298">
        <v>0</v>
      </c>
      <c r="CD163" s="298">
        <v>0</v>
      </c>
      <c r="CE163" s="298">
        <v>0</v>
      </c>
      <c r="CF163" s="298">
        <v>0</v>
      </c>
      <c r="CG163" s="298">
        <v>0</v>
      </c>
      <c r="CH163" s="298">
        <v>0</v>
      </c>
      <c r="CI163" s="298">
        <v>0</v>
      </c>
      <c r="CJ163" s="298">
        <v>0</v>
      </c>
      <c r="CK163" s="298">
        <v>0</v>
      </c>
      <c r="CL163" s="298">
        <v>0</v>
      </c>
      <c r="CM163" s="298">
        <v>0</v>
      </c>
      <c r="CN163" s="298">
        <v>0</v>
      </c>
      <c r="CO163" s="298">
        <v>0</v>
      </c>
      <c r="CP163" s="298">
        <v>0</v>
      </c>
      <c r="CQ163" s="298">
        <v>0</v>
      </c>
    </row>
    <row r="164" spans="1:95" x14ac:dyDescent="0.3">
      <c r="A164" s="270">
        <v>514</v>
      </c>
      <c r="B164" s="270">
        <v>514</v>
      </c>
      <c r="C164" s="270" t="s">
        <v>263</v>
      </c>
      <c r="D164" s="270" t="s">
        <v>480</v>
      </c>
      <c r="E164" s="270">
        <v>0</v>
      </c>
      <c r="F164" s="270">
        <v>0</v>
      </c>
      <c r="G164" s="270">
        <v>0</v>
      </c>
      <c r="H164" s="1112">
        <v>0</v>
      </c>
      <c r="I164" s="270">
        <v>280000</v>
      </c>
      <c r="J164" s="270">
        <v>0</v>
      </c>
      <c r="K164" s="270">
        <v>102394</v>
      </c>
      <c r="L164" s="270">
        <v>0</v>
      </c>
      <c r="M164" s="270">
        <v>0</v>
      </c>
      <c r="N164" s="270">
        <v>0</v>
      </c>
      <c r="O164" s="270">
        <v>0</v>
      </c>
      <c r="P164" s="270">
        <v>0</v>
      </c>
      <c r="Q164" s="270">
        <v>0</v>
      </c>
      <c r="R164" s="270">
        <v>0</v>
      </c>
      <c r="S164" s="270">
        <v>0</v>
      </c>
      <c r="T164" s="270">
        <v>0</v>
      </c>
      <c r="U164" s="270">
        <v>0</v>
      </c>
      <c r="V164" s="270">
        <v>0</v>
      </c>
      <c r="W164" s="270">
        <v>0</v>
      </c>
      <c r="X164" s="270">
        <v>0</v>
      </c>
      <c r="Y164" s="1112">
        <v>0</v>
      </c>
      <c r="Z164" s="270">
        <v>0</v>
      </c>
      <c r="AA164" s="270">
        <v>1706990</v>
      </c>
      <c r="AB164" s="270">
        <v>0</v>
      </c>
      <c r="AC164" s="270">
        <v>0</v>
      </c>
      <c r="AD164" s="270">
        <v>0</v>
      </c>
      <c r="AE164" s="270">
        <v>0</v>
      </c>
      <c r="AF164" s="270">
        <v>0</v>
      </c>
      <c r="AG164" s="270">
        <v>0</v>
      </c>
      <c r="AH164" s="270">
        <v>0</v>
      </c>
      <c r="AI164" s="270">
        <v>0</v>
      </c>
      <c r="AJ164" s="270">
        <v>0</v>
      </c>
      <c r="AK164" s="270">
        <v>0</v>
      </c>
      <c r="AL164" s="270">
        <v>0</v>
      </c>
      <c r="AM164" s="270">
        <v>0</v>
      </c>
      <c r="AN164" s="270">
        <v>0</v>
      </c>
      <c r="AO164" s="270">
        <v>0</v>
      </c>
      <c r="AP164" s="270">
        <v>0</v>
      </c>
      <c r="AQ164" s="270">
        <v>0</v>
      </c>
      <c r="AR164" s="270">
        <v>0</v>
      </c>
      <c r="AS164" s="270">
        <v>0</v>
      </c>
      <c r="AT164" s="270">
        <v>0</v>
      </c>
      <c r="AU164" s="270">
        <v>0</v>
      </c>
      <c r="AV164" s="270">
        <v>0</v>
      </c>
      <c r="AW164" s="270">
        <v>0</v>
      </c>
      <c r="AX164" s="270">
        <v>0</v>
      </c>
      <c r="AY164" s="270">
        <v>0</v>
      </c>
      <c r="AZ164" s="270">
        <v>0</v>
      </c>
      <c r="BA164" s="270">
        <v>0</v>
      </c>
      <c r="BB164" s="270">
        <v>0</v>
      </c>
      <c r="BC164" s="270">
        <v>0</v>
      </c>
      <c r="BD164" s="270">
        <v>0</v>
      </c>
      <c r="BE164" s="270">
        <v>0</v>
      </c>
      <c r="BF164" s="270">
        <v>0</v>
      </c>
      <c r="BG164" s="270">
        <v>0</v>
      </c>
      <c r="BH164" s="1112">
        <v>1438902</v>
      </c>
      <c r="BI164" s="270">
        <v>0</v>
      </c>
      <c r="BJ164" s="270">
        <v>0</v>
      </c>
      <c r="BK164" s="270">
        <v>0</v>
      </c>
      <c r="BL164" s="270">
        <v>1275600</v>
      </c>
      <c r="BM164" s="270">
        <v>0</v>
      </c>
      <c r="BN164" s="270">
        <v>0</v>
      </c>
      <c r="BO164" s="270">
        <v>0</v>
      </c>
      <c r="BP164" s="270">
        <v>0</v>
      </c>
      <c r="BQ164" s="270">
        <v>0</v>
      </c>
      <c r="BR164" s="270">
        <v>0</v>
      </c>
      <c r="BS164" s="270">
        <v>0</v>
      </c>
      <c r="BT164" s="298">
        <v>0</v>
      </c>
      <c r="BU164" s="298">
        <v>0</v>
      </c>
      <c r="BV164" s="298">
        <v>0</v>
      </c>
      <c r="BW164" s="298">
        <v>0</v>
      </c>
      <c r="BX164" s="298">
        <v>0</v>
      </c>
      <c r="BY164" s="298">
        <v>0</v>
      </c>
      <c r="BZ164" s="298">
        <v>0</v>
      </c>
      <c r="CA164" s="298">
        <v>0</v>
      </c>
      <c r="CB164" s="298">
        <v>0</v>
      </c>
      <c r="CC164" s="298">
        <v>2259920</v>
      </c>
      <c r="CD164" s="298">
        <v>0</v>
      </c>
      <c r="CE164" s="298">
        <v>1000000</v>
      </c>
      <c r="CF164" s="298">
        <v>0</v>
      </c>
      <c r="CG164" s="298">
        <v>0</v>
      </c>
      <c r="CH164" s="298">
        <v>0</v>
      </c>
      <c r="CI164" s="298">
        <v>375578</v>
      </c>
      <c r="CJ164" s="298">
        <v>0</v>
      </c>
      <c r="CK164" s="298">
        <v>0</v>
      </c>
      <c r="CL164" s="298">
        <v>0</v>
      </c>
      <c r="CM164" s="298">
        <v>0</v>
      </c>
      <c r="CN164" s="298">
        <v>0</v>
      </c>
      <c r="CO164" s="298">
        <v>0</v>
      </c>
      <c r="CP164" s="298">
        <v>0</v>
      </c>
      <c r="CQ164" s="298">
        <v>0</v>
      </c>
    </row>
    <row r="165" spans="1:95" x14ac:dyDescent="0.3">
      <c r="A165" s="270">
        <v>515</v>
      </c>
      <c r="B165" s="270">
        <v>515</v>
      </c>
      <c r="C165" s="270" t="s">
        <v>276</v>
      </c>
      <c r="D165" s="270" t="s">
        <v>481</v>
      </c>
      <c r="E165" s="270">
        <v>0</v>
      </c>
      <c r="F165" s="1112">
        <v>0</v>
      </c>
      <c r="G165" s="1112">
        <v>0</v>
      </c>
      <c r="H165" s="1112">
        <v>50876</v>
      </c>
      <c r="I165" s="270">
        <v>36853</v>
      </c>
      <c r="J165" s="270">
        <v>0</v>
      </c>
      <c r="K165" s="270">
        <v>0</v>
      </c>
      <c r="L165" s="1112">
        <v>0</v>
      </c>
      <c r="M165" s="1112">
        <v>0</v>
      </c>
      <c r="N165" s="270">
        <v>0</v>
      </c>
      <c r="O165" s="270">
        <v>0</v>
      </c>
      <c r="P165" s="270">
        <v>0</v>
      </c>
      <c r="Q165" s="1112">
        <v>10803</v>
      </c>
      <c r="R165" s="1112">
        <v>0</v>
      </c>
      <c r="S165" s="270">
        <v>0</v>
      </c>
      <c r="T165" s="270">
        <v>0</v>
      </c>
      <c r="U165" s="270">
        <v>0</v>
      </c>
      <c r="V165" s="270">
        <v>0</v>
      </c>
      <c r="W165" s="270">
        <v>0</v>
      </c>
      <c r="X165" s="270">
        <v>0</v>
      </c>
      <c r="Y165" s="270">
        <v>0</v>
      </c>
      <c r="Z165" s="270">
        <v>0</v>
      </c>
      <c r="AA165" s="270">
        <v>0</v>
      </c>
      <c r="AB165" s="270">
        <v>139025</v>
      </c>
      <c r="AC165" s="1112">
        <v>0</v>
      </c>
      <c r="AD165" s="270">
        <v>0</v>
      </c>
      <c r="AE165" s="270">
        <v>7582068</v>
      </c>
      <c r="AF165" s="270">
        <v>0</v>
      </c>
      <c r="AG165" s="270">
        <v>5000</v>
      </c>
      <c r="AH165" s="1112">
        <v>0</v>
      </c>
      <c r="AI165" s="1112">
        <v>0</v>
      </c>
      <c r="AJ165" s="270">
        <v>4367</v>
      </c>
      <c r="AK165" s="1112">
        <v>361707</v>
      </c>
      <c r="AL165" s="270">
        <v>2935237</v>
      </c>
      <c r="AM165" s="270">
        <v>0</v>
      </c>
      <c r="AN165" s="1112">
        <v>0</v>
      </c>
      <c r="AO165" s="270">
        <v>0</v>
      </c>
      <c r="AP165" s="270">
        <v>0</v>
      </c>
      <c r="AQ165" s="270">
        <v>0</v>
      </c>
      <c r="AR165" s="270">
        <v>0</v>
      </c>
      <c r="AS165" s="270">
        <v>0</v>
      </c>
      <c r="AT165" s="270">
        <v>0</v>
      </c>
      <c r="AU165" s="270">
        <v>0</v>
      </c>
      <c r="AV165" s="270">
        <v>0</v>
      </c>
      <c r="AW165" s="1112">
        <v>0</v>
      </c>
      <c r="AX165" s="270">
        <v>0</v>
      </c>
      <c r="AY165" s="270">
        <v>0</v>
      </c>
      <c r="AZ165" s="1112">
        <v>0</v>
      </c>
      <c r="BA165" s="270">
        <v>91344</v>
      </c>
      <c r="BB165" s="270">
        <v>0</v>
      </c>
      <c r="BC165" s="1112">
        <v>0</v>
      </c>
      <c r="BD165" s="270">
        <v>0</v>
      </c>
      <c r="BE165" s="270">
        <v>0</v>
      </c>
      <c r="BF165" s="270">
        <v>0</v>
      </c>
      <c r="BG165" s="270">
        <v>0</v>
      </c>
      <c r="BH165" s="270">
        <v>9612585</v>
      </c>
      <c r="BI165" s="270">
        <v>0</v>
      </c>
      <c r="BJ165" s="270">
        <v>0</v>
      </c>
      <c r="BK165" s="1112">
        <v>0</v>
      </c>
      <c r="BL165" s="270">
        <v>10522228</v>
      </c>
      <c r="BM165" s="270">
        <v>0</v>
      </c>
      <c r="BN165" s="270">
        <v>0</v>
      </c>
      <c r="BO165" s="1112">
        <v>0</v>
      </c>
      <c r="BP165" s="270">
        <v>116102</v>
      </c>
      <c r="BQ165" s="1112">
        <v>0</v>
      </c>
      <c r="BR165" s="270">
        <v>0</v>
      </c>
      <c r="BS165" s="270">
        <v>0</v>
      </c>
      <c r="BT165" s="298">
        <v>0</v>
      </c>
      <c r="BU165" s="298">
        <v>0</v>
      </c>
      <c r="BV165" s="298">
        <v>3436</v>
      </c>
      <c r="BW165" s="298">
        <v>0</v>
      </c>
      <c r="BX165" s="298">
        <v>0</v>
      </c>
      <c r="BY165" s="298">
        <v>0</v>
      </c>
      <c r="BZ165" s="298">
        <v>0</v>
      </c>
      <c r="CA165" s="298">
        <v>241512</v>
      </c>
      <c r="CB165" s="298">
        <v>0</v>
      </c>
      <c r="CC165" s="298">
        <v>11335426</v>
      </c>
      <c r="CD165" s="298">
        <v>0</v>
      </c>
      <c r="CE165" s="298">
        <v>0</v>
      </c>
      <c r="CF165" s="298">
        <v>0</v>
      </c>
      <c r="CG165" s="298">
        <v>1249236</v>
      </c>
      <c r="CH165" s="298">
        <v>281321871</v>
      </c>
      <c r="CI165" s="298">
        <v>0</v>
      </c>
      <c r="CJ165" s="298">
        <v>21286</v>
      </c>
      <c r="CK165" s="298">
        <v>0</v>
      </c>
      <c r="CL165" s="298">
        <v>0</v>
      </c>
      <c r="CM165" s="298">
        <v>0</v>
      </c>
      <c r="CN165" s="298">
        <v>0</v>
      </c>
      <c r="CO165" s="298">
        <v>627039</v>
      </c>
      <c r="CP165" s="298">
        <v>0</v>
      </c>
      <c r="CQ165" s="298">
        <v>0</v>
      </c>
    </row>
    <row r="166" spans="1:95" x14ac:dyDescent="0.3">
      <c r="A166" s="270">
        <v>516</v>
      </c>
      <c r="B166" s="270">
        <v>516</v>
      </c>
      <c r="C166" s="270" t="s">
        <v>277</v>
      </c>
      <c r="D166" s="270" t="s">
        <v>482</v>
      </c>
      <c r="E166" s="1112">
        <v>0</v>
      </c>
      <c r="F166" s="1112">
        <v>0</v>
      </c>
      <c r="G166" s="1112">
        <v>5942693</v>
      </c>
      <c r="H166" s="1112">
        <v>19151615</v>
      </c>
      <c r="I166" s="270">
        <v>10407248</v>
      </c>
      <c r="J166" s="1112">
        <v>4646326</v>
      </c>
      <c r="K166" s="1112">
        <v>120697309</v>
      </c>
      <c r="L166" s="1112">
        <v>7563798</v>
      </c>
      <c r="M166" s="1112">
        <v>0</v>
      </c>
      <c r="N166" s="270">
        <v>4561800</v>
      </c>
      <c r="O166" s="1112">
        <v>6509286</v>
      </c>
      <c r="P166" s="270">
        <v>0</v>
      </c>
      <c r="Q166" s="1112">
        <v>5562154</v>
      </c>
      <c r="R166" s="1112">
        <v>0</v>
      </c>
      <c r="S166" s="270">
        <v>0</v>
      </c>
      <c r="T166" s="1112">
        <v>0</v>
      </c>
      <c r="U166" s="1112">
        <v>48171339</v>
      </c>
      <c r="V166" s="1112">
        <v>0</v>
      </c>
      <c r="W166" s="1112">
        <v>3316742</v>
      </c>
      <c r="X166" s="1112">
        <v>0</v>
      </c>
      <c r="Y166" s="1112">
        <v>13337234</v>
      </c>
      <c r="Z166" s="270">
        <v>0</v>
      </c>
      <c r="AA166" s="1112">
        <v>38241429</v>
      </c>
      <c r="AB166" s="1112">
        <v>17732830</v>
      </c>
      <c r="AC166" s="1112">
        <v>1507187</v>
      </c>
      <c r="AD166" s="1112">
        <v>4011096</v>
      </c>
      <c r="AE166" s="1112">
        <v>38211904</v>
      </c>
      <c r="AF166" s="270">
        <v>0</v>
      </c>
      <c r="AG166" s="270">
        <v>5826567</v>
      </c>
      <c r="AH166" s="1112">
        <v>0</v>
      </c>
      <c r="AI166" s="1112">
        <v>2853564</v>
      </c>
      <c r="AJ166" s="1112">
        <v>30677021</v>
      </c>
      <c r="AK166" s="1112">
        <v>21271247</v>
      </c>
      <c r="AL166" s="270">
        <v>11131576</v>
      </c>
      <c r="AM166" s="270">
        <v>0</v>
      </c>
      <c r="AN166" s="1112">
        <v>0</v>
      </c>
      <c r="AO166" s="1112">
        <v>0</v>
      </c>
      <c r="AP166" s="1112">
        <v>43779142</v>
      </c>
      <c r="AQ166" s="270">
        <v>6852925</v>
      </c>
      <c r="AR166" s="1112">
        <v>0</v>
      </c>
      <c r="AS166" s="1112">
        <v>0</v>
      </c>
      <c r="AT166" s="1112">
        <v>0</v>
      </c>
      <c r="AU166" s="1112">
        <v>0</v>
      </c>
      <c r="AV166" s="270">
        <v>1037880</v>
      </c>
      <c r="AW166" s="1112">
        <v>20558602</v>
      </c>
      <c r="AX166" s="1112">
        <v>0</v>
      </c>
      <c r="AY166" s="1112">
        <v>0</v>
      </c>
      <c r="AZ166" s="1112">
        <v>0</v>
      </c>
      <c r="BA166" s="270">
        <v>30319818</v>
      </c>
      <c r="BB166" s="270">
        <v>0</v>
      </c>
      <c r="BC166" s="1112">
        <v>6324198</v>
      </c>
      <c r="BD166" s="270">
        <v>3178805</v>
      </c>
      <c r="BE166" s="1112">
        <v>2431041</v>
      </c>
      <c r="BF166" s="1112">
        <v>6245079</v>
      </c>
      <c r="BG166" s="1112">
        <v>21465229</v>
      </c>
      <c r="BH166" s="1112">
        <v>58468883</v>
      </c>
      <c r="BI166" s="1112">
        <v>0</v>
      </c>
      <c r="BJ166" s="1112">
        <v>0</v>
      </c>
      <c r="BK166" s="1112">
        <v>0</v>
      </c>
      <c r="BL166" s="270">
        <v>34383560</v>
      </c>
      <c r="BM166" s="1112">
        <v>13994067</v>
      </c>
      <c r="BN166" s="1112">
        <v>0</v>
      </c>
      <c r="BO166" s="1112">
        <v>0</v>
      </c>
      <c r="BP166" s="1112">
        <v>12777055</v>
      </c>
      <c r="BQ166" s="1112">
        <v>0</v>
      </c>
      <c r="BR166" s="1112">
        <v>0</v>
      </c>
      <c r="BS166" s="270">
        <v>0</v>
      </c>
      <c r="BT166" s="298">
        <v>14396338</v>
      </c>
      <c r="BU166" s="298">
        <v>0</v>
      </c>
      <c r="BV166" s="298">
        <v>3463983</v>
      </c>
      <c r="BW166" s="298">
        <v>6989379</v>
      </c>
      <c r="BX166" s="298">
        <v>24489582</v>
      </c>
      <c r="BY166" s="298">
        <v>688680</v>
      </c>
      <c r="BZ166" s="298">
        <v>0</v>
      </c>
      <c r="CA166" s="298">
        <v>29485879</v>
      </c>
      <c r="CB166" s="298">
        <v>0</v>
      </c>
      <c r="CC166" s="298">
        <v>190025831</v>
      </c>
      <c r="CD166" s="298">
        <v>378213</v>
      </c>
      <c r="CE166" s="298">
        <v>11050872</v>
      </c>
      <c r="CF166" s="298">
        <v>7788988</v>
      </c>
      <c r="CG166" s="298">
        <v>10193237</v>
      </c>
      <c r="CH166" s="298">
        <v>906573907</v>
      </c>
      <c r="CI166" s="298">
        <v>11802448</v>
      </c>
      <c r="CJ166" s="298">
        <v>7246427</v>
      </c>
      <c r="CK166" s="298">
        <v>0</v>
      </c>
      <c r="CL166" s="298">
        <v>2449910</v>
      </c>
      <c r="CM166" s="298">
        <v>9638184</v>
      </c>
      <c r="CN166" s="298">
        <v>22638844</v>
      </c>
      <c r="CO166" s="298">
        <v>13700853</v>
      </c>
      <c r="CP166" s="298">
        <v>0</v>
      </c>
      <c r="CQ166" s="298">
        <v>0</v>
      </c>
    </row>
    <row r="167" spans="1:95" x14ac:dyDescent="0.3">
      <c r="A167" s="270">
        <v>517</v>
      </c>
      <c r="B167" s="270">
        <v>517</v>
      </c>
      <c r="C167" s="270" t="s">
        <v>278</v>
      </c>
      <c r="D167" s="270" t="s">
        <v>483</v>
      </c>
      <c r="E167" s="1112">
        <v>0</v>
      </c>
      <c r="F167" s="270">
        <v>0</v>
      </c>
      <c r="G167" s="270">
        <v>0</v>
      </c>
      <c r="H167" s="270">
        <v>0</v>
      </c>
      <c r="I167" s="270">
        <v>0</v>
      </c>
      <c r="J167" s="270">
        <v>0</v>
      </c>
      <c r="K167" s="1112">
        <v>0</v>
      </c>
      <c r="L167" s="270">
        <v>0</v>
      </c>
      <c r="M167" s="270">
        <v>0</v>
      </c>
      <c r="N167" s="270">
        <v>0</v>
      </c>
      <c r="O167" s="270">
        <v>0</v>
      </c>
      <c r="P167" s="270">
        <v>0</v>
      </c>
      <c r="Q167" s="270">
        <v>5890</v>
      </c>
      <c r="R167" s="270">
        <v>0</v>
      </c>
      <c r="S167" s="270">
        <v>0</v>
      </c>
      <c r="T167" s="270">
        <v>0</v>
      </c>
      <c r="U167" s="270">
        <v>0</v>
      </c>
      <c r="V167" s="270">
        <v>0</v>
      </c>
      <c r="W167" s="270">
        <v>0</v>
      </c>
      <c r="X167" s="270">
        <v>0</v>
      </c>
      <c r="Y167" s="270">
        <v>0</v>
      </c>
      <c r="Z167" s="270">
        <v>0</v>
      </c>
      <c r="AA167" s="270">
        <v>0</v>
      </c>
      <c r="AB167" s="1112">
        <v>0</v>
      </c>
      <c r="AC167" s="270">
        <v>0</v>
      </c>
      <c r="AD167" s="270">
        <v>0</v>
      </c>
      <c r="AE167" s="270">
        <v>58260900</v>
      </c>
      <c r="AF167" s="270">
        <v>0</v>
      </c>
      <c r="AG167" s="270">
        <v>0</v>
      </c>
      <c r="AH167" s="270">
        <v>0</v>
      </c>
      <c r="AI167" s="270">
        <v>0</v>
      </c>
      <c r="AJ167" s="270">
        <v>0</v>
      </c>
      <c r="AK167" s="1112">
        <v>0</v>
      </c>
      <c r="AL167" s="270">
        <v>0</v>
      </c>
      <c r="AM167" s="270">
        <v>0</v>
      </c>
      <c r="AN167" s="270">
        <v>0</v>
      </c>
      <c r="AO167" s="270">
        <v>0</v>
      </c>
      <c r="AP167" s="270">
        <v>0</v>
      </c>
      <c r="AQ167" s="270">
        <v>0</v>
      </c>
      <c r="AR167" s="270">
        <v>0</v>
      </c>
      <c r="AS167" s="270">
        <v>0</v>
      </c>
      <c r="AT167" s="270">
        <v>0</v>
      </c>
      <c r="AU167" s="270">
        <v>0</v>
      </c>
      <c r="AV167" s="270">
        <v>0</v>
      </c>
      <c r="AW167" s="1112">
        <v>0</v>
      </c>
      <c r="AX167" s="270">
        <v>4757339</v>
      </c>
      <c r="AY167" s="270">
        <v>0</v>
      </c>
      <c r="AZ167" s="270">
        <v>0</v>
      </c>
      <c r="BA167" s="270">
        <v>0</v>
      </c>
      <c r="BB167" s="270">
        <v>0</v>
      </c>
      <c r="BC167" s="270">
        <v>0</v>
      </c>
      <c r="BD167" s="270">
        <v>0</v>
      </c>
      <c r="BE167" s="270">
        <v>0</v>
      </c>
      <c r="BF167" s="270">
        <v>0</v>
      </c>
      <c r="BG167" s="270">
        <v>0</v>
      </c>
      <c r="BH167" s="270">
        <v>0</v>
      </c>
      <c r="BI167" s="270">
        <v>0</v>
      </c>
      <c r="BJ167" s="270">
        <v>0</v>
      </c>
      <c r="BK167" s="270">
        <v>0</v>
      </c>
      <c r="BL167" s="270">
        <v>0</v>
      </c>
      <c r="BM167" s="270">
        <v>0</v>
      </c>
      <c r="BN167" s="270">
        <v>0</v>
      </c>
      <c r="BO167" s="270">
        <v>0</v>
      </c>
      <c r="BP167" s="270">
        <v>0</v>
      </c>
      <c r="BQ167" s="270">
        <v>0</v>
      </c>
      <c r="BR167" s="270">
        <v>0</v>
      </c>
      <c r="BS167" s="270">
        <v>0</v>
      </c>
      <c r="BT167" s="298">
        <v>0</v>
      </c>
      <c r="BU167" s="298">
        <v>0</v>
      </c>
      <c r="BV167" s="298">
        <v>0</v>
      </c>
      <c r="BW167" s="298">
        <v>0</v>
      </c>
      <c r="BX167" s="298">
        <v>0</v>
      </c>
      <c r="BY167" s="298">
        <v>0</v>
      </c>
      <c r="BZ167" s="298">
        <v>0</v>
      </c>
      <c r="CA167" s="298">
        <v>0</v>
      </c>
      <c r="CB167" s="298">
        <v>0</v>
      </c>
      <c r="CC167" s="298">
        <v>0</v>
      </c>
      <c r="CD167" s="298">
        <v>0</v>
      </c>
      <c r="CE167" s="298">
        <v>0</v>
      </c>
      <c r="CF167" s="298">
        <v>0</v>
      </c>
      <c r="CG167" s="298">
        <v>26748</v>
      </c>
      <c r="CH167" s="298">
        <v>0</v>
      </c>
      <c r="CI167" s="298">
        <v>0</v>
      </c>
      <c r="CJ167" s="298">
        <v>0</v>
      </c>
      <c r="CK167" s="298">
        <v>0</v>
      </c>
      <c r="CL167" s="298">
        <v>0</v>
      </c>
      <c r="CM167" s="298">
        <v>0</v>
      </c>
      <c r="CN167" s="298">
        <v>0</v>
      </c>
      <c r="CO167" s="298">
        <v>0</v>
      </c>
      <c r="CP167" s="298">
        <v>0</v>
      </c>
      <c r="CQ167" s="298">
        <v>0</v>
      </c>
    </row>
    <row r="168" spans="1:95" x14ac:dyDescent="0.3">
      <c r="A168" s="270">
        <v>518</v>
      </c>
      <c r="B168" s="270">
        <v>518</v>
      </c>
      <c r="C168" s="270" t="s">
        <v>279</v>
      </c>
      <c r="D168" s="270" t="s">
        <v>484</v>
      </c>
      <c r="E168" s="1112">
        <v>0</v>
      </c>
      <c r="F168" s="1112">
        <v>0</v>
      </c>
      <c r="G168" s="1112">
        <v>0</v>
      </c>
      <c r="H168" s="1112">
        <v>458696</v>
      </c>
      <c r="I168" s="270">
        <v>516142</v>
      </c>
      <c r="J168" s="1112">
        <v>227422</v>
      </c>
      <c r="K168" s="1112">
        <v>4743531</v>
      </c>
      <c r="L168" s="1112">
        <v>46643</v>
      </c>
      <c r="M168" s="1112">
        <v>0</v>
      </c>
      <c r="N168" s="270">
        <v>9000</v>
      </c>
      <c r="O168" s="1112">
        <v>289096</v>
      </c>
      <c r="P168" s="270">
        <v>0</v>
      </c>
      <c r="Q168" s="1112">
        <v>161442</v>
      </c>
      <c r="R168" s="1112">
        <v>0</v>
      </c>
      <c r="S168" s="270">
        <v>0</v>
      </c>
      <c r="T168" s="270">
        <v>0</v>
      </c>
      <c r="U168" s="1112">
        <v>775379</v>
      </c>
      <c r="V168" s="1112">
        <v>0</v>
      </c>
      <c r="W168" s="1112">
        <v>114789</v>
      </c>
      <c r="X168" s="1112">
        <v>0</v>
      </c>
      <c r="Y168" s="1112">
        <v>114194</v>
      </c>
      <c r="Z168" s="270">
        <v>0</v>
      </c>
      <c r="AA168" s="1112">
        <v>2175570</v>
      </c>
      <c r="AB168" s="1112">
        <v>1588942</v>
      </c>
      <c r="AC168" s="1112">
        <v>9619</v>
      </c>
      <c r="AD168" s="1112">
        <v>30988</v>
      </c>
      <c r="AE168" s="1112">
        <v>3832133</v>
      </c>
      <c r="AF168" s="270">
        <v>0</v>
      </c>
      <c r="AG168" s="270">
        <v>312858</v>
      </c>
      <c r="AH168" s="1112">
        <v>0</v>
      </c>
      <c r="AI168" s="1112">
        <v>72087</v>
      </c>
      <c r="AJ168" s="1112">
        <v>107546</v>
      </c>
      <c r="AK168" s="1112">
        <v>1328341</v>
      </c>
      <c r="AL168" s="270">
        <v>1993875</v>
      </c>
      <c r="AM168" s="270">
        <v>0</v>
      </c>
      <c r="AN168" s="1112">
        <v>568799</v>
      </c>
      <c r="AO168" s="270">
        <v>0</v>
      </c>
      <c r="AP168" s="1112">
        <v>2141537</v>
      </c>
      <c r="AQ168" s="270">
        <v>149978</v>
      </c>
      <c r="AR168" s="1112">
        <v>0</v>
      </c>
      <c r="AS168" s="1112">
        <v>0</v>
      </c>
      <c r="AT168" s="1112">
        <v>0</v>
      </c>
      <c r="AU168" s="1112">
        <v>0</v>
      </c>
      <c r="AV168" s="270">
        <v>19698</v>
      </c>
      <c r="AW168" s="1112">
        <v>1453010</v>
      </c>
      <c r="AX168" s="1112">
        <v>94680</v>
      </c>
      <c r="AY168" s="1112">
        <v>0</v>
      </c>
      <c r="AZ168" s="270">
        <v>0</v>
      </c>
      <c r="BA168" s="270">
        <v>1647607</v>
      </c>
      <c r="BB168" s="270">
        <v>0</v>
      </c>
      <c r="BC168" s="1112">
        <v>586365</v>
      </c>
      <c r="BD168" s="270">
        <v>0</v>
      </c>
      <c r="BE168" s="1112">
        <v>73206</v>
      </c>
      <c r="BF168" s="1112">
        <v>455347</v>
      </c>
      <c r="BG168" s="1112">
        <v>389256</v>
      </c>
      <c r="BH168" s="1112">
        <v>7665692</v>
      </c>
      <c r="BI168" s="1112">
        <v>0</v>
      </c>
      <c r="BJ168" s="270">
        <v>0</v>
      </c>
      <c r="BK168" s="1112">
        <v>0</v>
      </c>
      <c r="BL168" s="270">
        <v>2684769</v>
      </c>
      <c r="BM168" s="1112">
        <v>1658920</v>
      </c>
      <c r="BN168" s="1112">
        <v>0</v>
      </c>
      <c r="BO168" s="1112">
        <v>0</v>
      </c>
      <c r="BP168" s="1112">
        <v>1179378</v>
      </c>
      <c r="BQ168" s="1112">
        <v>0</v>
      </c>
      <c r="BR168" s="1112">
        <v>0</v>
      </c>
      <c r="BS168" s="270">
        <v>0</v>
      </c>
      <c r="BT168" s="298">
        <v>763653</v>
      </c>
      <c r="BU168" s="298">
        <v>0</v>
      </c>
      <c r="BV168" s="298">
        <v>0</v>
      </c>
      <c r="BW168" s="298">
        <v>616166</v>
      </c>
      <c r="BX168" s="298">
        <v>1531619</v>
      </c>
      <c r="BY168" s="298">
        <v>0</v>
      </c>
      <c r="BZ168" s="298">
        <v>0</v>
      </c>
      <c r="CA168" s="298">
        <v>1043469</v>
      </c>
      <c r="CB168" s="298">
        <v>0</v>
      </c>
      <c r="CC168" s="298">
        <v>15402364</v>
      </c>
      <c r="CD168" s="298">
        <v>0</v>
      </c>
      <c r="CE168" s="298">
        <v>112428</v>
      </c>
      <c r="CF168" s="298">
        <v>27590</v>
      </c>
      <c r="CG168" s="298">
        <v>682516</v>
      </c>
      <c r="CH168" s="298">
        <v>23550537</v>
      </c>
      <c r="CI168" s="298">
        <v>955420</v>
      </c>
      <c r="CJ168" s="298">
        <v>275975</v>
      </c>
      <c r="CK168" s="298">
        <v>0</v>
      </c>
      <c r="CL168" s="298">
        <v>274834</v>
      </c>
      <c r="CM168" s="298">
        <v>1455837</v>
      </c>
      <c r="CN168" s="298">
        <v>2909277</v>
      </c>
      <c r="CO168" s="298">
        <v>890440</v>
      </c>
      <c r="CP168" s="298">
        <v>0</v>
      </c>
      <c r="CQ168" s="298">
        <v>0</v>
      </c>
    </row>
    <row r="169" spans="1:95" x14ac:dyDescent="0.3">
      <c r="A169" s="270">
        <v>519</v>
      </c>
      <c r="B169" s="270">
        <v>519</v>
      </c>
      <c r="C169" s="270" t="s">
        <v>280</v>
      </c>
      <c r="D169" s="270" t="s">
        <v>485</v>
      </c>
      <c r="E169" s="270">
        <v>0</v>
      </c>
      <c r="F169" s="1112">
        <v>0</v>
      </c>
      <c r="G169" s="270">
        <v>0</v>
      </c>
      <c r="H169" s="1112">
        <v>952</v>
      </c>
      <c r="I169" s="270">
        <v>927</v>
      </c>
      <c r="J169" s="270">
        <v>0</v>
      </c>
      <c r="K169" s="270">
        <v>0</v>
      </c>
      <c r="L169" s="1112">
        <v>0</v>
      </c>
      <c r="M169" s="1112">
        <v>0</v>
      </c>
      <c r="N169" s="270">
        <v>0</v>
      </c>
      <c r="O169" s="270">
        <v>0</v>
      </c>
      <c r="P169" s="270">
        <v>0</v>
      </c>
      <c r="Q169" s="1112">
        <v>400</v>
      </c>
      <c r="R169" s="1112">
        <v>0</v>
      </c>
      <c r="S169" s="270">
        <v>0</v>
      </c>
      <c r="T169" s="270">
        <v>0</v>
      </c>
      <c r="U169" s="270">
        <v>0</v>
      </c>
      <c r="V169" s="270">
        <v>0</v>
      </c>
      <c r="W169" s="270">
        <v>0</v>
      </c>
      <c r="X169" s="270">
        <v>0</v>
      </c>
      <c r="Y169" s="270">
        <v>0</v>
      </c>
      <c r="Z169" s="270">
        <v>0</v>
      </c>
      <c r="AA169" s="270">
        <v>0</v>
      </c>
      <c r="AB169" s="270">
        <v>7464</v>
      </c>
      <c r="AC169" s="1112">
        <v>0</v>
      </c>
      <c r="AD169" s="270">
        <v>0</v>
      </c>
      <c r="AE169" s="270">
        <v>87915</v>
      </c>
      <c r="AF169" s="270">
        <v>0</v>
      </c>
      <c r="AG169" s="270">
        <v>250</v>
      </c>
      <c r="AH169" s="1112">
        <v>0</v>
      </c>
      <c r="AI169" s="1112">
        <v>0</v>
      </c>
      <c r="AJ169" s="270">
        <v>146</v>
      </c>
      <c r="AK169" s="1112">
        <v>9619</v>
      </c>
      <c r="AL169" s="270">
        <v>62744</v>
      </c>
      <c r="AM169" s="270">
        <v>0</v>
      </c>
      <c r="AN169" s="1112">
        <v>0</v>
      </c>
      <c r="AO169" s="270">
        <v>0</v>
      </c>
      <c r="AP169" s="270">
        <v>0</v>
      </c>
      <c r="AQ169" s="270">
        <v>0</v>
      </c>
      <c r="AR169" s="270">
        <v>0</v>
      </c>
      <c r="AS169" s="270">
        <v>0</v>
      </c>
      <c r="AT169" s="270">
        <v>0</v>
      </c>
      <c r="AU169" s="270">
        <v>0</v>
      </c>
      <c r="AV169" s="270">
        <v>0</v>
      </c>
      <c r="AW169" s="1112">
        <v>0</v>
      </c>
      <c r="AX169" s="270">
        <v>0</v>
      </c>
      <c r="AY169" s="270">
        <v>0</v>
      </c>
      <c r="AZ169" s="1112">
        <v>0</v>
      </c>
      <c r="BA169" s="270">
        <v>4783</v>
      </c>
      <c r="BB169" s="270">
        <v>0</v>
      </c>
      <c r="BC169" s="1112">
        <v>0</v>
      </c>
      <c r="BD169" s="270">
        <v>0</v>
      </c>
      <c r="BE169" s="270">
        <v>0</v>
      </c>
      <c r="BF169" s="270">
        <v>0</v>
      </c>
      <c r="BG169" s="270">
        <v>0</v>
      </c>
      <c r="BH169" s="270">
        <v>212910</v>
      </c>
      <c r="BI169" s="270">
        <v>0</v>
      </c>
      <c r="BJ169" s="270">
        <v>0</v>
      </c>
      <c r="BK169" s="1112">
        <v>0</v>
      </c>
      <c r="BL169" s="270">
        <v>205253</v>
      </c>
      <c r="BM169" s="270">
        <v>0</v>
      </c>
      <c r="BN169" s="270">
        <v>0</v>
      </c>
      <c r="BO169" s="1112">
        <v>0</v>
      </c>
      <c r="BP169" s="270">
        <v>3607</v>
      </c>
      <c r="BQ169" s="1112">
        <v>0</v>
      </c>
      <c r="BR169" s="270">
        <v>0</v>
      </c>
      <c r="BS169" s="270">
        <v>0</v>
      </c>
      <c r="BT169" s="298">
        <v>0</v>
      </c>
      <c r="BU169" s="298">
        <v>0</v>
      </c>
      <c r="BV169" s="298">
        <v>0</v>
      </c>
      <c r="BW169" s="298">
        <v>0</v>
      </c>
      <c r="BX169" s="298">
        <v>0</v>
      </c>
      <c r="BY169" s="298">
        <v>0</v>
      </c>
      <c r="BZ169" s="298">
        <v>0</v>
      </c>
      <c r="CA169" s="298">
        <v>7908</v>
      </c>
      <c r="CB169" s="298">
        <v>0</v>
      </c>
      <c r="CC169" s="298">
        <v>198584</v>
      </c>
      <c r="CD169" s="298">
        <v>0</v>
      </c>
      <c r="CE169" s="298">
        <v>0</v>
      </c>
      <c r="CF169" s="298">
        <v>0</v>
      </c>
      <c r="CG169" s="298">
        <v>31321</v>
      </c>
      <c r="CH169" s="298">
        <v>6816475</v>
      </c>
      <c r="CI169" s="298">
        <v>0</v>
      </c>
      <c r="CJ169" s="298">
        <v>0</v>
      </c>
      <c r="CK169" s="298">
        <v>0</v>
      </c>
      <c r="CL169" s="298">
        <v>0</v>
      </c>
      <c r="CM169" s="298">
        <v>0</v>
      </c>
      <c r="CN169" s="298">
        <v>0</v>
      </c>
      <c r="CO169" s="298">
        <v>12523</v>
      </c>
      <c r="CP169" s="298">
        <v>0</v>
      </c>
      <c r="CQ169" s="298">
        <v>0</v>
      </c>
    </row>
    <row r="170" spans="1:95" x14ac:dyDescent="0.3">
      <c r="A170" s="270">
        <v>520</v>
      </c>
      <c r="B170" s="270">
        <v>520</v>
      </c>
      <c r="C170" s="270" t="s">
        <v>281</v>
      </c>
      <c r="D170" s="270" t="s">
        <v>486</v>
      </c>
      <c r="E170" s="1112">
        <v>0</v>
      </c>
      <c r="F170" s="1112">
        <v>0</v>
      </c>
      <c r="G170" s="1112">
        <v>129405</v>
      </c>
      <c r="H170" s="1112">
        <v>429055</v>
      </c>
      <c r="I170" s="270">
        <v>271747</v>
      </c>
      <c r="J170" s="1112">
        <v>33654</v>
      </c>
      <c r="K170" s="1112">
        <v>3571439</v>
      </c>
      <c r="L170" s="1112">
        <v>181563</v>
      </c>
      <c r="M170" s="1112">
        <v>0</v>
      </c>
      <c r="N170" s="270">
        <v>111973</v>
      </c>
      <c r="O170" s="1112">
        <v>145940</v>
      </c>
      <c r="P170" s="270">
        <v>0</v>
      </c>
      <c r="Q170" s="1112">
        <v>82553</v>
      </c>
      <c r="R170" s="1112">
        <v>0</v>
      </c>
      <c r="S170" s="270">
        <v>0</v>
      </c>
      <c r="T170" s="1112">
        <v>0</v>
      </c>
      <c r="U170" s="1112">
        <v>967668</v>
      </c>
      <c r="V170" s="1112">
        <v>0</v>
      </c>
      <c r="W170" s="1112">
        <v>106140</v>
      </c>
      <c r="X170" s="1112">
        <v>0</v>
      </c>
      <c r="Y170" s="1112">
        <v>279915</v>
      </c>
      <c r="Z170" s="270">
        <v>0</v>
      </c>
      <c r="AA170" s="1112">
        <v>1121452</v>
      </c>
      <c r="AB170" s="1112">
        <v>562991</v>
      </c>
      <c r="AC170" s="1112">
        <v>33505</v>
      </c>
      <c r="AD170" s="1112">
        <v>96001</v>
      </c>
      <c r="AE170" s="1112">
        <v>1676047</v>
      </c>
      <c r="AF170" s="270">
        <v>0</v>
      </c>
      <c r="AG170" s="270">
        <v>133557</v>
      </c>
      <c r="AH170" s="1112">
        <v>0</v>
      </c>
      <c r="AI170" s="1112">
        <v>71407</v>
      </c>
      <c r="AJ170" s="1112">
        <v>766925</v>
      </c>
      <c r="AK170" s="1112">
        <v>404847</v>
      </c>
      <c r="AL170" s="270">
        <v>121621</v>
      </c>
      <c r="AM170" s="270">
        <v>0</v>
      </c>
      <c r="AN170" s="1112">
        <v>0</v>
      </c>
      <c r="AO170" s="1112">
        <v>0</v>
      </c>
      <c r="AP170" s="1112">
        <v>809383</v>
      </c>
      <c r="AQ170" s="270">
        <v>162990</v>
      </c>
      <c r="AR170" s="1112">
        <v>0</v>
      </c>
      <c r="AS170" s="1112">
        <v>0</v>
      </c>
      <c r="AT170" s="1112">
        <v>0</v>
      </c>
      <c r="AU170" s="1112">
        <v>0</v>
      </c>
      <c r="AV170" s="270">
        <v>25947</v>
      </c>
      <c r="AW170" s="1112">
        <v>307367</v>
      </c>
      <c r="AX170" s="1112">
        <v>0</v>
      </c>
      <c r="AY170" s="1112">
        <v>0</v>
      </c>
      <c r="AZ170" s="1112">
        <v>0</v>
      </c>
      <c r="BA170" s="270">
        <v>792361</v>
      </c>
      <c r="BB170" s="270">
        <v>0</v>
      </c>
      <c r="BC170" s="1112">
        <v>109433</v>
      </c>
      <c r="BD170" s="270">
        <v>117525</v>
      </c>
      <c r="BE170" s="1112">
        <v>57562</v>
      </c>
      <c r="BF170" s="1112">
        <v>233188</v>
      </c>
      <c r="BG170" s="1112">
        <v>536631</v>
      </c>
      <c r="BH170" s="1112">
        <v>1118710</v>
      </c>
      <c r="BI170" s="1112">
        <v>0</v>
      </c>
      <c r="BJ170" s="1112">
        <v>0</v>
      </c>
      <c r="BK170" s="1112">
        <v>0</v>
      </c>
      <c r="BL170" s="270">
        <v>697154</v>
      </c>
      <c r="BM170" s="1112">
        <v>292501</v>
      </c>
      <c r="BN170" s="1112">
        <v>0</v>
      </c>
      <c r="BO170" s="1112">
        <v>0</v>
      </c>
      <c r="BP170" s="1112">
        <v>235433</v>
      </c>
      <c r="BQ170" s="1112">
        <v>0</v>
      </c>
      <c r="BR170" s="1112">
        <v>0</v>
      </c>
      <c r="BS170" s="270">
        <v>0</v>
      </c>
      <c r="BT170" s="298">
        <v>281768</v>
      </c>
      <c r="BU170" s="298">
        <v>0</v>
      </c>
      <c r="BV170" s="298">
        <v>71275</v>
      </c>
      <c r="BW170" s="298">
        <v>117207</v>
      </c>
      <c r="BX170" s="298">
        <v>398007</v>
      </c>
      <c r="BY170" s="298">
        <v>17217</v>
      </c>
      <c r="BZ170" s="298">
        <v>0</v>
      </c>
      <c r="CA170" s="298">
        <v>714274</v>
      </c>
      <c r="CB170" s="298">
        <v>0</v>
      </c>
      <c r="CC170" s="298">
        <v>2644025</v>
      </c>
      <c r="CD170" s="298">
        <v>7564</v>
      </c>
      <c r="CE170" s="298">
        <v>208591</v>
      </c>
      <c r="CF170" s="298">
        <v>154072</v>
      </c>
      <c r="CG170" s="298">
        <v>205773</v>
      </c>
      <c r="CH170" s="298">
        <v>20120696</v>
      </c>
      <c r="CI170" s="298">
        <v>315609</v>
      </c>
      <c r="CJ170" s="298">
        <v>157927</v>
      </c>
      <c r="CK170" s="298">
        <v>0</v>
      </c>
      <c r="CL170" s="298">
        <v>54746</v>
      </c>
      <c r="CM170" s="298">
        <v>176903</v>
      </c>
      <c r="CN170" s="298">
        <v>540073</v>
      </c>
      <c r="CO170" s="298">
        <v>266573</v>
      </c>
      <c r="CP170" s="298">
        <v>0</v>
      </c>
      <c r="CQ170" s="298">
        <v>0</v>
      </c>
    </row>
    <row r="171" spans="1:95" x14ac:dyDescent="0.3">
      <c r="A171" s="270">
        <v>521</v>
      </c>
      <c r="B171" s="270">
        <v>521</v>
      </c>
      <c r="C171" s="270" t="s">
        <v>282</v>
      </c>
      <c r="D171" s="270" t="s">
        <v>487</v>
      </c>
      <c r="E171" s="1112">
        <v>0</v>
      </c>
      <c r="F171" s="270">
        <v>0</v>
      </c>
      <c r="G171" s="270">
        <v>0</v>
      </c>
      <c r="H171" s="270">
        <v>0</v>
      </c>
      <c r="I171" s="270">
        <v>0</v>
      </c>
      <c r="J171" s="270">
        <v>0</v>
      </c>
      <c r="K171" s="1112">
        <v>0</v>
      </c>
      <c r="L171" s="270">
        <v>0</v>
      </c>
      <c r="M171" s="270">
        <v>0</v>
      </c>
      <c r="N171" s="270">
        <v>0</v>
      </c>
      <c r="O171" s="270">
        <v>0</v>
      </c>
      <c r="P171" s="270">
        <v>0</v>
      </c>
      <c r="Q171" s="270">
        <v>127</v>
      </c>
      <c r="R171" s="270">
        <v>0</v>
      </c>
      <c r="S171" s="270">
        <v>0</v>
      </c>
      <c r="T171" s="270">
        <v>0</v>
      </c>
      <c r="U171" s="270">
        <v>0</v>
      </c>
      <c r="V171" s="270">
        <v>0</v>
      </c>
      <c r="W171" s="270">
        <v>0</v>
      </c>
      <c r="X171" s="270">
        <v>0</v>
      </c>
      <c r="Y171" s="270">
        <v>0</v>
      </c>
      <c r="Z171" s="270">
        <v>0</v>
      </c>
      <c r="AA171" s="270">
        <v>0</v>
      </c>
      <c r="AB171" s="270">
        <v>0</v>
      </c>
      <c r="AC171" s="270">
        <v>0</v>
      </c>
      <c r="AD171" s="270">
        <v>0</v>
      </c>
      <c r="AE171" s="270">
        <v>1547709</v>
      </c>
      <c r="AF171" s="270">
        <v>0</v>
      </c>
      <c r="AG171" s="270">
        <v>0</v>
      </c>
      <c r="AH171" s="270">
        <v>0</v>
      </c>
      <c r="AI171" s="270">
        <v>0</v>
      </c>
      <c r="AJ171" s="270">
        <v>0</v>
      </c>
      <c r="AK171" s="1112">
        <v>0</v>
      </c>
      <c r="AL171" s="270">
        <v>0</v>
      </c>
      <c r="AM171" s="270">
        <v>0</v>
      </c>
      <c r="AN171" s="270">
        <v>0</v>
      </c>
      <c r="AO171" s="270">
        <v>0</v>
      </c>
      <c r="AP171" s="270">
        <v>0</v>
      </c>
      <c r="AQ171" s="270">
        <v>0</v>
      </c>
      <c r="AR171" s="270">
        <v>0</v>
      </c>
      <c r="AS171" s="270">
        <v>0</v>
      </c>
      <c r="AT171" s="270">
        <v>0</v>
      </c>
      <c r="AU171" s="270">
        <v>0</v>
      </c>
      <c r="AV171" s="270">
        <v>0</v>
      </c>
      <c r="AW171" s="1112">
        <v>0</v>
      </c>
      <c r="AX171" s="270">
        <v>97692</v>
      </c>
      <c r="AY171" s="270">
        <v>0</v>
      </c>
      <c r="AZ171" s="270">
        <v>0</v>
      </c>
      <c r="BA171" s="270">
        <v>0</v>
      </c>
      <c r="BB171" s="270">
        <v>0</v>
      </c>
      <c r="BC171" s="270">
        <v>0</v>
      </c>
      <c r="BD171" s="270">
        <v>0</v>
      </c>
      <c r="BE171" s="270">
        <v>0</v>
      </c>
      <c r="BF171" s="270">
        <v>0</v>
      </c>
      <c r="BG171" s="270">
        <v>0</v>
      </c>
      <c r="BH171" s="270">
        <v>0</v>
      </c>
      <c r="BI171" s="270">
        <v>0</v>
      </c>
      <c r="BJ171" s="270">
        <v>0</v>
      </c>
      <c r="BK171" s="270">
        <v>0</v>
      </c>
      <c r="BL171" s="270">
        <v>0</v>
      </c>
      <c r="BM171" s="270">
        <v>0</v>
      </c>
      <c r="BN171" s="270">
        <v>0</v>
      </c>
      <c r="BO171" s="270">
        <v>0</v>
      </c>
      <c r="BP171" s="270">
        <v>0</v>
      </c>
      <c r="BQ171" s="270">
        <v>0</v>
      </c>
      <c r="BR171" s="270">
        <v>0</v>
      </c>
      <c r="BS171" s="270">
        <v>0</v>
      </c>
      <c r="BT171" s="298">
        <v>0</v>
      </c>
      <c r="BU171" s="298">
        <v>0</v>
      </c>
      <c r="BV171" s="298">
        <v>0</v>
      </c>
      <c r="BW171" s="298">
        <v>0</v>
      </c>
      <c r="BX171" s="298">
        <v>0</v>
      </c>
      <c r="BY171" s="298">
        <v>0</v>
      </c>
      <c r="BZ171" s="298">
        <v>0</v>
      </c>
      <c r="CA171" s="298">
        <v>0</v>
      </c>
      <c r="CB171" s="298">
        <v>0</v>
      </c>
      <c r="CC171" s="298">
        <v>829512</v>
      </c>
      <c r="CD171" s="298">
        <v>0</v>
      </c>
      <c r="CE171" s="298">
        <v>0</v>
      </c>
      <c r="CF171" s="298">
        <v>0</v>
      </c>
      <c r="CG171" s="298">
        <v>535</v>
      </c>
      <c r="CH171" s="298">
        <v>0</v>
      </c>
      <c r="CI171" s="298">
        <v>0</v>
      </c>
      <c r="CJ171" s="298">
        <v>0</v>
      </c>
      <c r="CK171" s="298">
        <v>0</v>
      </c>
      <c r="CL171" s="298">
        <v>0</v>
      </c>
      <c r="CM171" s="298">
        <v>0</v>
      </c>
      <c r="CN171" s="298">
        <v>0</v>
      </c>
      <c r="CO171" s="298">
        <v>0</v>
      </c>
      <c r="CP171" s="298">
        <v>0</v>
      </c>
      <c r="CQ171" s="298">
        <v>0</v>
      </c>
    </row>
    <row r="172" spans="1:95" x14ac:dyDescent="0.3">
      <c r="A172" s="270">
        <v>522</v>
      </c>
      <c r="B172" s="270">
        <v>522</v>
      </c>
      <c r="C172" s="270" t="s">
        <v>283</v>
      </c>
      <c r="D172" s="270" t="s">
        <v>488</v>
      </c>
      <c r="E172" s="1112">
        <v>0</v>
      </c>
      <c r="F172" s="1112">
        <v>0</v>
      </c>
      <c r="G172" s="270">
        <v>0</v>
      </c>
      <c r="H172" s="1112">
        <v>37585</v>
      </c>
      <c r="I172" s="270">
        <v>32577</v>
      </c>
      <c r="J172" s="1112">
        <v>11823</v>
      </c>
      <c r="K172" s="1112">
        <v>217584</v>
      </c>
      <c r="L172" s="1112">
        <v>4554</v>
      </c>
      <c r="M172" s="1112">
        <v>0</v>
      </c>
      <c r="N172" s="270">
        <v>1800</v>
      </c>
      <c r="O172" s="1112">
        <v>14517</v>
      </c>
      <c r="P172" s="270">
        <v>0</v>
      </c>
      <c r="Q172" s="1112">
        <v>3517</v>
      </c>
      <c r="R172" s="1112">
        <v>0</v>
      </c>
      <c r="S172" s="270">
        <v>0</v>
      </c>
      <c r="T172" s="270">
        <v>0</v>
      </c>
      <c r="U172" s="1112">
        <v>58736</v>
      </c>
      <c r="V172" s="1112">
        <v>0</v>
      </c>
      <c r="W172" s="1112">
        <v>2925</v>
      </c>
      <c r="X172" s="270">
        <v>0</v>
      </c>
      <c r="Y172" s="1112">
        <v>16270</v>
      </c>
      <c r="Z172" s="270">
        <v>0</v>
      </c>
      <c r="AA172" s="270">
        <v>56094</v>
      </c>
      <c r="AB172" s="270">
        <v>56458</v>
      </c>
      <c r="AC172" s="1112">
        <v>0</v>
      </c>
      <c r="AD172" s="1112">
        <v>0</v>
      </c>
      <c r="AE172" s="1112">
        <v>257261</v>
      </c>
      <c r="AF172" s="270">
        <v>0</v>
      </c>
      <c r="AG172" s="270">
        <v>11694</v>
      </c>
      <c r="AH172" s="1112">
        <v>0</v>
      </c>
      <c r="AI172" s="1112">
        <v>1229</v>
      </c>
      <c r="AJ172" s="1112">
        <v>17852</v>
      </c>
      <c r="AK172" s="1112">
        <v>73358</v>
      </c>
      <c r="AL172" s="270">
        <v>77831</v>
      </c>
      <c r="AM172" s="270">
        <v>0</v>
      </c>
      <c r="AN172" s="1112">
        <v>10762</v>
      </c>
      <c r="AO172" s="270">
        <v>0</v>
      </c>
      <c r="AP172" s="1112">
        <v>107325</v>
      </c>
      <c r="AQ172" s="270">
        <v>5088</v>
      </c>
      <c r="AR172" s="1112">
        <v>0</v>
      </c>
      <c r="AS172" s="1112">
        <v>0</v>
      </c>
      <c r="AT172" s="270">
        <v>0</v>
      </c>
      <c r="AU172" s="1112">
        <v>0</v>
      </c>
      <c r="AV172" s="270">
        <v>0</v>
      </c>
      <c r="AW172" s="1112">
        <v>71701</v>
      </c>
      <c r="AX172" s="1112">
        <v>4946</v>
      </c>
      <c r="AY172" s="1112">
        <v>0</v>
      </c>
      <c r="AZ172" s="270">
        <v>0</v>
      </c>
      <c r="BA172" s="270">
        <v>83089</v>
      </c>
      <c r="BB172" s="270">
        <v>0</v>
      </c>
      <c r="BC172" s="1112">
        <v>19236</v>
      </c>
      <c r="BD172" s="270">
        <v>0</v>
      </c>
      <c r="BE172" s="270">
        <v>7100</v>
      </c>
      <c r="BF172" s="1112">
        <v>32938</v>
      </c>
      <c r="BG172" s="1112">
        <v>22254</v>
      </c>
      <c r="BH172" s="270">
        <v>316230</v>
      </c>
      <c r="BI172" s="1112">
        <v>0</v>
      </c>
      <c r="BJ172" s="270">
        <v>0</v>
      </c>
      <c r="BK172" s="1112">
        <v>0</v>
      </c>
      <c r="BL172" s="270">
        <v>157814</v>
      </c>
      <c r="BM172" s="270">
        <v>43828</v>
      </c>
      <c r="BN172" s="1112">
        <v>0</v>
      </c>
      <c r="BO172" s="1112">
        <v>0</v>
      </c>
      <c r="BP172" s="1112">
        <v>31838</v>
      </c>
      <c r="BQ172" s="1112">
        <v>0</v>
      </c>
      <c r="BR172" s="1112">
        <v>0</v>
      </c>
      <c r="BS172" s="270">
        <v>0</v>
      </c>
      <c r="BT172" s="298">
        <v>18161</v>
      </c>
      <c r="BU172" s="298">
        <v>0</v>
      </c>
      <c r="BV172" s="298">
        <v>0</v>
      </c>
      <c r="BW172" s="298">
        <v>3493</v>
      </c>
      <c r="BX172" s="298">
        <v>78809</v>
      </c>
      <c r="BY172" s="298">
        <v>0</v>
      </c>
      <c r="BZ172" s="298">
        <v>0</v>
      </c>
      <c r="CA172" s="298">
        <v>56794</v>
      </c>
      <c r="CB172" s="298">
        <v>0</v>
      </c>
      <c r="CC172" s="298">
        <v>721566</v>
      </c>
      <c r="CD172" s="298">
        <v>0</v>
      </c>
      <c r="CE172" s="298">
        <v>8586</v>
      </c>
      <c r="CF172" s="298">
        <v>0</v>
      </c>
      <c r="CG172" s="298">
        <v>23096</v>
      </c>
      <c r="CH172" s="298">
        <v>1123360</v>
      </c>
      <c r="CI172" s="298">
        <v>15508</v>
      </c>
      <c r="CJ172" s="298">
        <v>3935</v>
      </c>
      <c r="CK172" s="298">
        <v>0</v>
      </c>
      <c r="CL172" s="298">
        <v>12954</v>
      </c>
      <c r="CM172" s="298">
        <v>56803</v>
      </c>
      <c r="CN172" s="298">
        <v>84568</v>
      </c>
      <c r="CO172" s="298">
        <v>28864</v>
      </c>
      <c r="CP172" s="298">
        <v>0</v>
      </c>
      <c r="CQ172" s="298">
        <v>0</v>
      </c>
    </row>
    <row r="173" spans="1:95" x14ac:dyDescent="0.3">
      <c r="A173" s="270">
        <v>523</v>
      </c>
      <c r="B173" s="270">
        <v>523</v>
      </c>
      <c r="C173" s="270" t="s">
        <v>284</v>
      </c>
      <c r="D173" s="270" t="s">
        <v>489</v>
      </c>
      <c r="E173" s="270">
        <v>0</v>
      </c>
      <c r="F173" s="1112">
        <v>0</v>
      </c>
      <c r="G173" s="1112">
        <v>0</v>
      </c>
      <c r="H173" s="1112">
        <v>28093</v>
      </c>
      <c r="I173" s="270">
        <v>8384</v>
      </c>
      <c r="J173" s="270">
        <v>0</v>
      </c>
      <c r="K173" s="270">
        <v>0</v>
      </c>
      <c r="L173" s="1112">
        <v>0</v>
      </c>
      <c r="M173" s="1112">
        <v>0</v>
      </c>
      <c r="N173" s="270">
        <v>0</v>
      </c>
      <c r="O173" s="270">
        <v>0</v>
      </c>
      <c r="P173" s="270">
        <v>0</v>
      </c>
      <c r="Q173" s="1112">
        <v>6264</v>
      </c>
      <c r="R173" s="1112">
        <v>0</v>
      </c>
      <c r="S173" s="270">
        <v>0</v>
      </c>
      <c r="T173" s="270">
        <v>0</v>
      </c>
      <c r="U173" s="270">
        <v>0</v>
      </c>
      <c r="V173" s="270">
        <v>0</v>
      </c>
      <c r="W173" s="270">
        <v>0</v>
      </c>
      <c r="X173" s="270">
        <v>0</v>
      </c>
      <c r="Y173" s="270">
        <v>0</v>
      </c>
      <c r="Z173" s="270">
        <v>0</v>
      </c>
      <c r="AA173" s="270">
        <v>0</v>
      </c>
      <c r="AB173" s="270">
        <v>69930</v>
      </c>
      <c r="AC173" s="1112">
        <v>0</v>
      </c>
      <c r="AD173" s="270">
        <v>0</v>
      </c>
      <c r="AE173" s="270">
        <v>7263657</v>
      </c>
      <c r="AF173" s="270">
        <v>0</v>
      </c>
      <c r="AG173" s="270">
        <v>4683</v>
      </c>
      <c r="AH173" s="1112">
        <v>0</v>
      </c>
      <c r="AI173" s="1112">
        <v>0</v>
      </c>
      <c r="AJ173" s="270">
        <v>437</v>
      </c>
      <c r="AK173" s="1112">
        <v>296188</v>
      </c>
      <c r="AL173" s="270">
        <v>2074682</v>
      </c>
      <c r="AM173" s="270">
        <v>0</v>
      </c>
      <c r="AN173" s="1112">
        <v>0</v>
      </c>
      <c r="AO173" s="270">
        <v>0</v>
      </c>
      <c r="AP173" s="270">
        <v>0</v>
      </c>
      <c r="AQ173" s="270">
        <v>0</v>
      </c>
      <c r="AR173" s="270">
        <v>0</v>
      </c>
      <c r="AS173" s="270">
        <v>0</v>
      </c>
      <c r="AT173" s="270">
        <v>0</v>
      </c>
      <c r="AU173" s="270">
        <v>0</v>
      </c>
      <c r="AV173" s="270">
        <v>0</v>
      </c>
      <c r="AW173" s="1112">
        <v>0</v>
      </c>
      <c r="AX173" s="270">
        <v>0</v>
      </c>
      <c r="AY173" s="270">
        <v>0</v>
      </c>
      <c r="AZ173" s="1112">
        <v>0</v>
      </c>
      <c r="BA173" s="270">
        <v>71893</v>
      </c>
      <c r="BB173" s="270">
        <v>0</v>
      </c>
      <c r="BC173" s="1112">
        <v>0</v>
      </c>
      <c r="BD173" s="270">
        <v>0</v>
      </c>
      <c r="BE173" s="270">
        <v>0</v>
      </c>
      <c r="BF173" s="270">
        <v>0</v>
      </c>
      <c r="BG173" s="270">
        <v>0</v>
      </c>
      <c r="BH173" s="270">
        <v>6539813</v>
      </c>
      <c r="BI173" s="270">
        <v>0</v>
      </c>
      <c r="BJ173" s="270">
        <v>0</v>
      </c>
      <c r="BK173" s="1112">
        <v>0</v>
      </c>
      <c r="BL173" s="270">
        <v>8501143</v>
      </c>
      <c r="BM173" s="270">
        <v>0</v>
      </c>
      <c r="BN173" s="270">
        <v>0</v>
      </c>
      <c r="BO173" s="1112">
        <v>0</v>
      </c>
      <c r="BP173" s="270">
        <v>98066</v>
      </c>
      <c r="BQ173" s="1112">
        <v>0</v>
      </c>
      <c r="BR173" s="270">
        <v>0</v>
      </c>
      <c r="BS173" s="270">
        <v>0</v>
      </c>
      <c r="BT173" s="298">
        <v>0</v>
      </c>
      <c r="BU173" s="298">
        <v>0</v>
      </c>
      <c r="BV173" s="298">
        <v>3435</v>
      </c>
      <c r="BW173" s="298">
        <v>0</v>
      </c>
      <c r="BX173" s="298">
        <v>0</v>
      </c>
      <c r="BY173" s="298">
        <v>0</v>
      </c>
      <c r="BZ173" s="298">
        <v>0</v>
      </c>
      <c r="CA173" s="298">
        <v>152838</v>
      </c>
      <c r="CB173" s="298">
        <v>0</v>
      </c>
      <c r="CC173" s="298">
        <v>4814965</v>
      </c>
      <c r="CD173" s="298">
        <v>0</v>
      </c>
      <c r="CE173" s="298">
        <v>0</v>
      </c>
      <c r="CF173" s="298">
        <v>0</v>
      </c>
      <c r="CG173" s="298">
        <v>89566</v>
      </c>
      <c r="CH173" s="298">
        <v>112189250</v>
      </c>
      <c r="CI173" s="298">
        <v>0</v>
      </c>
      <c r="CJ173" s="298">
        <v>21286</v>
      </c>
      <c r="CK173" s="298">
        <v>0</v>
      </c>
      <c r="CL173" s="298">
        <v>0</v>
      </c>
      <c r="CM173" s="298">
        <v>0</v>
      </c>
      <c r="CN173" s="298">
        <v>0</v>
      </c>
      <c r="CO173" s="298">
        <v>255712</v>
      </c>
      <c r="CP173" s="298">
        <v>0</v>
      </c>
      <c r="CQ173" s="298">
        <v>0</v>
      </c>
    </row>
    <row r="174" spans="1:95" x14ac:dyDescent="0.3">
      <c r="A174" s="270">
        <v>524</v>
      </c>
      <c r="B174" s="270">
        <v>524</v>
      </c>
      <c r="C174" s="270" t="s">
        <v>285</v>
      </c>
      <c r="D174" s="270" t="s">
        <v>490</v>
      </c>
      <c r="E174" s="1112">
        <v>0</v>
      </c>
      <c r="F174" s="1112">
        <v>0</v>
      </c>
      <c r="G174" s="1112">
        <v>2110472</v>
      </c>
      <c r="H174" s="1112">
        <v>7020236</v>
      </c>
      <c r="I174" s="270">
        <v>4142749</v>
      </c>
      <c r="J174" s="1112">
        <v>3718268</v>
      </c>
      <c r="K174" s="1112">
        <v>57138790</v>
      </c>
      <c r="L174" s="1112">
        <v>3479182</v>
      </c>
      <c r="M174" s="1112">
        <v>0</v>
      </c>
      <c r="N174" s="270">
        <v>1559435</v>
      </c>
      <c r="O174" s="1112">
        <v>2900125</v>
      </c>
      <c r="P174" s="270">
        <v>0</v>
      </c>
      <c r="Q174" s="1112">
        <v>1598030</v>
      </c>
      <c r="R174" s="1112">
        <v>0</v>
      </c>
      <c r="S174" s="270">
        <v>0</v>
      </c>
      <c r="T174" s="1112">
        <v>0</v>
      </c>
      <c r="U174" s="1112">
        <v>15375721</v>
      </c>
      <c r="V174" s="1112">
        <v>0</v>
      </c>
      <c r="W174" s="1112">
        <v>1494535</v>
      </c>
      <c r="X174" s="1112">
        <v>0</v>
      </c>
      <c r="Y174" s="1112">
        <v>5092719</v>
      </c>
      <c r="Z174" s="270">
        <v>0</v>
      </c>
      <c r="AA174" s="1112">
        <v>27336203</v>
      </c>
      <c r="AB174" s="1112">
        <v>7664693</v>
      </c>
      <c r="AC174" s="1112">
        <v>952571</v>
      </c>
      <c r="AD174" s="1112">
        <v>1569989</v>
      </c>
      <c r="AE174" s="1112">
        <v>19548138</v>
      </c>
      <c r="AF174" s="270">
        <v>0</v>
      </c>
      <c r="AG174" s="270">
        <v>1639251</v>
      </c>
      <c r="AH174" s="1112">
        <v>0</v>
      </c>
      <c r="AI174" s="1112">
        <v>1193469</v>
      </c>
      <c r="AJ174" s="1112">
        <v>5961771</v>
      </c>
      <c r="AK174" s="1112">
        <v>6771065</v>
      </c>
      <c r="AL174" s="270">
        <v>7722865</v>
      </c>
      <c r="AM174" s="270">
        <v>0</v>
      </c>
      <c r="AN174" s="1112">
        <v>0</v>
      </c>
      <c r="AO174" s="1112">
        <v>0</v>
      </c>
      <c r="AP174" s="1112">
        <v>23680911</v>
      </c>
      <c r="AQ174" s="270">
        <v>3564232</v>
      </c>
      <c r="AR174" s="1112">
        <v>0</v>
      </c>
      <c r="AS174" s="1112">
        <v>0</v>
      </c>
      <c r="AT174" s="1112">
        <v>0</v>
      </c>
      <c r="AU174" s="1112">
        <v>0</v>
      </c>
      <c r="AV174" s="270">
        <v>685071</v>
      </c>
      <c r="AW174" s="1112">
        <v>10366671</v>
      </c>
      <c r="AX174" s="1112">
        <v>0</v>
      </c>
      <c r="AY174" s="1112">
        <v>0</v>
      </c>
      <c r="AZ174" s="1112">
        <v>0</v>
      </c>
      <c r="BA174" s="270">
        <v>14422819</v>
      </c>
      <c r="BB174" s="270">
        <v>0</v>
      </c>
      <c r="BC174" s="1112">
        <v>3184145</v>
      </c>
      <c r="BD174" s="270">
        <v>1288789</v>
      </c>
      <c r="BE174" s="1112">
        <v>1003929</v>
      </c>
      <c r="BF174" s="1112">
        <v>3528439</v>
      </c>
      <c r="BG174" s="1112">
        <v>8082126</v>
      </c>
      <c r="BH174" s="1112">
        <v>31289637</v>
      </c>
      <c r="BI174" s="1112">
        <v>0</v>
      </c>
      <c r="BJ174" s="1112">
        <v>0</v>
      </c>
      <c r="BK174" s="1112">
        <v>0</v>
      </c>
      <c r="BL174" s="270">
        <v>19179699</v>
      </c>
      <c r="BM174" s="1112">
        <v>6331335</v>
      </c>
      <c r="BN174" s="1112">
        <v>0</v>
      </c>
      <c r="BO174" s="1112">
        <v>0</v>
      </c>
      <c r="BP174" s="1112">
        <v>6407178</v>
      </c>
      <c r="BQ174" s="1112">
        <v>0</v>
      </c>
      <c r="BR174" s="1112">
        <v>0</v>
      </c>
      <c r="BS174" s="270">
        <v>0</v>
      </c>
      <c r="BT174" s="298">
        <v>5953679</v>
      </c>
      <c r="BU174" s="298">
        <v>0</v>
      </c>
      <c r="BV174" s="298">
        <v>1161568</v>
      </c>
      <c r="BW174" s="298">
        <v>3101420</v>
      </c>
      <c r="BX174" s="298">
        <v>9945085</v>
      </c>
      <c r="BY174" s="298">
        <v>117650</v>
      </c>
      <c r="BZ174" s="298">
        <v>0</v>
      </c>
      <c r="CA174" s="298">
        <v>15151109</v>
      </c>
      <c r="CB174" s="298">
        <v>0</v>
      </c>
      <c r="CC174" s="298">
        <v>64687319</v>
      </c>
      <c r="CD174" s="298">
        <v>90141</v>
      </c>
      <c r="CE174" s="298">
        <v>5539732</v>
      </c>
      <c r="CF174" s="298">
        <v>2790177</v>
      </c>
      <c r="CG174" s="298">
        <v>2606105</v>
      </c>
      <c r="CH174" s="298">
        <v>379064278</v>
      </c>
      <c r="CI174" s="298">
        <v>4687975</v>
      </c>
      <c r="CJ174" s="298">
        <v>4047261</v>
      </c>
      <c r="CK174" s="298">
        <v>0</v>
      </c>
      <c r="CL174" s="298">
        <v>1711370</v>
      </c>
      <c r="CM174" s="298">
        <v>6096150</v>
      </c>
      <c r="CN174" s="298">
        <v>12380544</v>
      </c>
      <c r="CO174" s="298">
        <v>5644287</v>
      </c>
      <c r="CP174" s="298">
        <v>0</v>
      </c>
      <c r="CQ174" s="298">
        <v>0</v>
      </c>
    </row>
    <row r="175" spans="1:95" x14ac:dyDescent="0.3">
      <c r="A175" s="270">
        <v>525</v>
      </c>
      <c r="B175" s="270">
        <v>525</v>
      </c>
      <c r="C175" s="270" t="s">
        <v>286</v>
      </c>
      <c r="D175" s="270" t="s">
        <v>491</v>
      </c>
      <c r="E175" s="1112">
        <v>0</v>
      </c>
      <c r="F175" s="270">
        <v>0</v>
      </c>
      <c r="G175" s="270">
        <v>0</v>
      </c>
      <c r="H175" s="270">
        <v>0</v>
      </c>
      <c r="I175" s="270">
        <v>0</v>
      </c>
      <c r="J175" s="270">
        <v>0</v>
      </c>
      <c r="K175" s="1112">
        <v>0</v>
      </c>
      <c r="L175" s="270">
        <v>0</v>
      </c>
      <c r="M175" s="270">
        <v>0</v>
      </c>
      <c r="N175" s="270">
        <v>0</v>
      </c>
      <c r="O175" s="270">
        <v>0</v>
      </c>
      <c r="P175" s="270">
        <v>0</v>
      </c>
      <c r="Q175" s="270">
        <v>2063</v>
      </c>
      <c r="R175" s="270">
        <v>0</v>
      </c>
      <c r="S175" s="270">
        <v>0</v>
      </c>
      <c r="T175" s="270">
        <v>0</v>
      </c>
      <c r="U175" s="270">
        <v>0</v>
      </c>
      <c r="V175" s="270">
        <v>0</v>
      </c>
      <c r="W175" s="270">
        <v>0</v>
      </c>
      <c r="X175" s="270">
        <v>0</v>
      </c>
      <c r="Y175" s="270">
        <v>0</v>
      </c>
      <c r="Z175" s="270">
        <v>0</v>
      </c>
      <c r="AA175" s="270">
        <v>0</v>
      </c>
      <c r="AB175" s="1112">
        <v>0</v>
      </c>
      <c r="AC175" s="270">
        <v>0</v>
      </c>
      <c r="AD175" s="270">
        <v>0</v>
      </c>
      <c r="AE175" s="270">
        <v>39693518</v>
      </c>
      <c r="AF175" s="270">
        <v>0</v>
      </c>
      <c r="AG175" s="270">
        <v>0</v>
      </c>
      <c r="AH175" s="270">
        <v>0</v>
      </c>
      <c r="AI175" s="270">
        <v>0</v>
      </c>
      <c r="AJ175" s="270">
        <v>0</v>
      </c>
      <c r="AK175" s="1112">
        <v>0</v>
      </c>
      <c r="AL175" s="270">
        <v>0</v>
      </c>
      <c r="AM175" s="270">
        <v>0</v>
      </c>
      <c r="AN175" s="270">
        <v>0</v>
      </c>
      <c r="AO175" s="270">
        <v>0</v>
      </c>
      <c r="AP175" s="270">
        <v>0</v>
      </c>
      <c r="AQ175" s="270">
        <v>0</v>
      </c>
      <c r="AR175" s="270">
        <v>0</v>
      </c>
      <c r="AS175" s="270">
        <v>0</v>
      </c>
      <c r="AT175" s="270">
        <v>0</v>
      </c>
      <c r="AU175" s="270">
        <v>0</v>
      </c>
      <c r="AV175" s="270">
        <v>0</v>
      </c>
      <c r="AW175" s="1112">
        <v>0</v>
      </c>
      <c r="AX175" s="270">
        <v>1609492</v>
      </c>
      <c r="AY175" s="270">
        <v>0</v>
      </c>
      <c r="AZ175" s="270">
        <v>0</v>
      </c>
      <c r="BA175" s="270">
        <v>0</v>
      </c>
      <c r="BB175" s="270">
        <v>0</v>
      </c>
      <c r="BC175" s="270">
        <v>0</v>
      </c>
      <c r="BD175" s="270">
        <v>0</v>
      </c>
      <c r="BE175" s="270">
        <v>0</v>
      </c>
      <c r="BF175" s="270">
        <v>0</v>
      </c>
      <c r="BG175" s="270">
        <v>0</v>
      </c>
      <c r="BH175" s="270">
        <v>0</v>
      </c>
      <c r="BI175" s="270">
        <v>0</v>
      </c>
      <c r="BJ175" s="270">
        <v>0</v>
      </c>
      <c r="BK175" s="270">
        <v>0</v>
      </c>
      <c r="BL175" s="270">
        <v>0</v>
      </c>
      <c r="BM175" s="270">
        <v>0</v>
      </c>
      <c r="BN175" s="270">
        <v>0</v>
      </c>
      <c r="BO175" s="270">
        <v>0</v>
      </c>
      <c r="BP175" s="270">
        <v>0</v>
      </c>
      <c r="BQ175" s="270">
        <v>0</v>
      </c>
      <c r="BR175" s="270">
        <v>0</v>
      </c>
      <c r="BS175" s="270">
        <v>0</v>
      </c>
      <c r="BT175" s="298">
        <v>0</v>
      </c>
      <c r="BU175" s="298">
        <v>0</v>
      </c>
      <c r="BV175" s="298">
        <v>0</v>
      </c>
      <c r="BW175" s="298">
        <v>0</v>
      </c>
      <c r="BX175" s="298">
        <v>0</v>
      </c>
      <c r="BY175" s="298">
        <v>0</v>
      </c>
      <c r="BZ175" s="298">
        <v>0</v>
      </c>
      <c r="CA175" s="298">
        <v>0</v>
      </c>
      <c r="CB175" s="298">
        <v>0</v>
      </c>
      <c r="CC175" s="298">
        <v>16985478</v>
      </c>
      <c r="CD175" s="298">
        <v>0</v>
      </c>
      <c r="CE175" s="298">
        <v>0</v>
      </c>
      <c r="CF175" s="298">
        <v>0</v>
      </c>
      <c r="CG175" s="298">
        <v>1070</v>
      </c>
      <c r="CH175" s="298">
        <v>0</v>
      </c>
      <c r="CI175" s="298">
        <v>0</v>
      </c>
      <c r="CJ175" s="298">
        <v>0</v>
      </c>
      <c r="CK175" s="298">
        <v>0</v>
      </c>
      <c r="CL175" s="298">
        <v>0</v>
      </c>
      <c r="CM175" s="298">
        <v>0</v>
      </c>
      <c r="CN175" s="298">
        <v>0</v>
      </c>
      <c r="CO175" s="298">
        <v>0</v>
      </c>
      <c r="CP175" s="298">
        <v>0</v>
      </c>
      <c r="CQ175" s="298">
        <v>0</v>
      </c>
    </row>
    <row r="176" spans="1:95" x14ac:dyDescent="0.3">
      <c r="A176" s="270">
        <v>526</v>
      </c>
      <c r="B176" s="270">
        <v>526</v>
      </c>
      <c r="C176" s="270" t="s">
        <v>287</v>
      </c>
      <c r="D176" s="270" t="s">
        <v>492</v>
      </c>
      <c r="E176" s="1112">
        <v>0</v>
      </c>
      <c r="F176" s="1112">
        <v>0</v>
      </c>
      <c r="G176" s="1112">
        <v>0</v>
      </c>
      <c r="H176" s="1112">
        <v>323824</v>
      </c>
      <c r="I176" s="270">
        <v>268539</v>
      </c>
      <c r="J176" s="1112">
        <v>193315</v>
      </c>
      <c r="K176" s="1112">
        <v>3462963</v>
      </c>
      <c r="L176" s="1112">
        <v>31027</v>
      </c>
      <c r="M176" s="1112">
        <v>0</v>
      </c>
      <c r="N176" s="270">
        <v>4500</v>
      </c>
      <c r="O176" s="1112">
        <v>196349</v>
      </c>
      <c r="P176" s="270">
        <v>0</v>
      </c>
      <c r="Q176" s="1112">
        <v>144533</v>
      </c>
      <c r="R176" s="1112">
        <v>0</v>
      </c>
      <c r="S176" s="270">
        <v>0</v>
      </c>
      <c r="T176" s="270">
        <v>0</v>
      </c>
      <c r="U176" s="1112">
        <v>420035</v>
      </c>
      <c r="V176" s="1112">
        <v>0</v>
      </c>
      <c r="W176" s="1112">
        <v>48536</v>
      </c>
      <c r="X176" s="1112">
        <v>0</v>
      </c>
      <c r="Y176" s="1112">
        <v>67886</v>
      </c>
      <c r="Z176" s="270">
        <v>0</v>
      </c>
      <c r="AA176" s="1112">
        <v>1850718</v>
      </c>
      <c r="AB176" s="1112">
        <v>779987</v>
      </c>
      <c r="AC176" s="1112">
        <v>9619</v>
      </c>
      <c r="AD176" s="1112">
        <v>30988</v>
      </c>
      <c r="AE176" s="1112">
        <v>2828210</v>
      </c>
      <c r="AF176" s="270">
        <v>0</v>
      </c>
      <c r="AG176" s="270">
        <v>291978</v>
      </c>
      <c r="AH176" s="1112">
        <v>0</v>
      </c>
      <c r="AI176" s="1112">
        <v>66986</v>
      </c>
      <c r="AJ176" s="1112">
        <v>76195</v>
      </c>
      <c r="AK176" s="1112">
        <v>1032722</v>
      </c>
      <c r="AL176" s="270">
        <v>1288154</v>
      </c>
      <c r="AM176" s="270">
        <v>0</v>
      </c>
      <c r="AN176" s="1112">
        <v>434831</v>
      </c>
      <c r="AO176" s="270">
        <v>0</v>
      </c>
      <c r="AP176" s="1112">
        <v>1596831</v>
      </c>
      <c r="AQ176" s="270">
        <v>126063</v>
      </c>
      <c r="AR176" s="1112">
        <v>0</v>
      </c>
      <c r="AS176" s="1112">
        <v>0</v>
      </c>
      <c r="AT176" s="1112">
        <v>0</v>
      </c>
      <c r="AU176" s="1112">
        <v>0</v>
      </c>
      <c r="AV176" s="270">
        <v>3048</v>
      </c>
      <c r="AW176" s="1112">
        <v>1049464</v>
      </c>
      <c r="AX176" s="1112">
        <v>86849</v>
      </c>
      <c r="AY176" s="1112">
        <v>0</v>
      </c>
      <c r="AZ176" s="270">
        <v>0</v>
      </c>
      <c r="BA176" s="270">
        <v>1402572</v>
      </c>
      <c r="BB176" s="270">
        <v>0</v>
      </c>
      <c r="BC176" s="1112">
        <v>544948</v>
      </c>
      <c r="BD176" s="270">
        <v>0</v>
      </c>
      <c r="BE176" s="1112">
        <v>35702</v>
      </c>
      <c r="BF176" s="1112">
        <v>376428</v>
      </c>
      <c r="BG176" s="1112">
        <v>311353</v>
      </c>
      <c r="BH176" s="1112">
        <v>5568032</v>
      </c>
      <c r="BI176" s="1112">
        <v>0</v>
      </c>
      <c r="BJ176" s="270">
        <v>0</v>
      </c>
      <c r="BK176" s="1112">
        <v>0</v>
      </c>
      <c r="BL176" s="270">
        <v>1708062</v>
      </c>
      <c r="BM176" s="1112">
        <v>1103795</v>
      </c>
      <c r="BN176" s="1112">
        <v>0</v>
      </c>
      <c r="BO176" s="1112">
        <v>0</v>
      </c>
      <c r="BP176" s="1112">
        <v>657095</v>
      </c>
      <c r="BQ176" s="1112">
        <v>0</v>
      </c>
      <c r="BR176" s="1112">
        <v>0</v>
      </c>
      <c r="BS176" s="270">
        <v>0</v>
      </c>
      <c r="BT176" s="298">
        <v>671137</v>
      </c>
      <c r="BU176" s="298">
        <v>0</v>
      </c>
      <c r="BV176" s="298">
        <v>0</v>
      </c>
      <c r="BW176" s="298">
        <v>495678</v>
      </c>
      <c r="BX176" s="298">
        <v>1324299</v>
      </c>
      <c r="BY176" s="298">
        <v>0</v>
      </c>
      <c r="BZ176" s="298">
        <v>0</v>
      </c>
      <c r="CA176" s="298">
        <v>821774</v>
      </c>
      <c r="CB176" s="298">
        <v>0</v>
      </c>
      <c r="CC176" s="298">
        <v>10210365</v>
      </c>
      <c r="CD176" s="298">
        <v>0</v>
      </c>
      <c r="CE176" s="298">
        <v>108088</v>
      </c>
      <c r="CF176" s="298">
        <v>27590</v>
      </c>
      <c r="CG176" s="298">
        <v>598674</v>
      </c>
      <c r="CH176" s="298">
        <v>16666583</v>
      </c>
      <c r="CI176" s="298">
        <v>438274</v>
      </c>
      <c r="CJ176" s="298">
        <v>236768</v>
      </c>
      <c r="CK176" s="298">
        <v>0</v>
      </c>
      <c r="CL176" s="298">
        <v>246819</v>
      </c>
      <c r="CM176" s="298">
        <v>974388</v>
      </c>
      <c r="CN176" s="298">
        <v>2419316</v>
      </c>
      <c r="CO176" s="298">
        <v>688454</v>
      </c>
      <c r="CP176" s="298">
        <v>0</v>
      </c>
      <c r="CQ176" s="298">
        <v>0</v>
      </c>
    </row>
    <row r="177" spans="1:95" x14ac:dyDescent="0.3">
      <c r="A177" s="270">
        <v>527</v>
      </c>
      <c r="B177" s="270">
        <v>527</v>
      </c>
      <c r="C177" s="270" t="s">
        <v>288</v>
      </c>
      <c r="D177" s="270" t="s">
        <v>493</v>
      </c>
      <c r="E177" s="270">
        <v>0</v>
      </c>
      <c r="F177" s="270">
        <v>0</v>
      </c>
      <c r="G177" s="270">
        <v>0</v>
      </c>
      <c r="H177" s="1112">
        <v>0</v>
      </c>
      <c r="I177" s="270">
        <v>20836</v>
      </c>
      <c r="J177" s="270">
        <v>0</v>
      </c>
      <c r="K177" s="270">
        <v>63725</v>
      </c>
      <c r="L177" s="270">
        <v>0</v>
      </c>
      <c r="M177" s="1112">
        <v>0</v>
      </c>
      <c r="N177" s="270">
        <v>0</v>
      </c>
      <c r="O177" s="270">
        <v>0</v>
      </c>
      <c r="P177" s="270">
        <v>0</v>
      </c>
      <c r="Q177" s="270">
        <v>0</v>
      </c>
      <c r="R177" s="270">
        <v>0</v>
      </c>
      <c r="S177" s="270">
        <v>0</v>
      </c>
      <c r="T177" s="270">
        <v>0</v>
      </c>
      <c r="U177" s="270">
        <v>0</v>
      </c>
      <c r="V177" s="270">
        <v>0</v>
      </c>
      <c r="W177" s="270">
        <v>0</v>
      </c>
      <c r="X177" s="270">
        <v>0</v>
      </c>
      <c r="Y177" s="1112">
        <v>0</v>
      </c>
      <c r="Z177" s="270">
        <v>0</v>
      </c>
      <c r="AA177" s="270">
        <v>858368</v>
      </c>
      <c r="AB177" s="270">
        <v>0</v>
      </c>
      <c r="AC177" s="270">
        <v>0</v>
      </c>
      <c r="AD177" s="270">
        <v>0</v>
      </c>
      <c r="AE177" s="270">
        <v>0</v>
      </c>
      <c r="AF177" s="270">
        <v>0</v>
      </c>
      <c r="AG177" s="270">
        <v>0</v>
      </c>
      <c r="AH177" s="270">
        <v>0</v>
      </c>
      <c r="AI177" s="270">
        <v>0</v>
      </c>
      <c r="AJ177" s="1112">
        <v>0</v>
      </c>
      <c r="AK177" s="270">
        <v>0</v>
      </c>
      <c r="AL177" s="270">
        <v>0</v>
      </c>
      <c r="AM177" s="270">
        <v>0</v>
      </c>
      <c r="AN177" s="270">
        <v>0</v>
      </c>
      <c r="AO177" s="270">
        <v>0</v>
      </c>
      <c r="AP177" s="270">
        <v>0</v>
      </c>
      <c r="AQ177" s="270">
        <v>0</v>
      </c>
      <c r="AR177" s="270">
        <v>0</v>
      </c>
      <c r="AS177" s="270">
        <v>0</v>
      </c>
      <c r="AT177" s="270">
        <v>0</v>
      </c>
      <c r="AU177" s="270">
        <v>0</v>
      </c>
      <c r="AV177" s="270">
        <v>0</v>
      </c>
      <c r="AW177" s="270">
        <v>0</v>
      </c>
      <c r="AX177" s="270">
        <v>0</v>
      </c>
      <c r="AY177" s="270">
        <v>1451949</v>
      </c>
      <c r="AZ177" s="270">
        <v>0</v>
      </c>
      <c r="BA177" s="270">
        <v>0</v>
      </c>
      <c r="BB177" s="270">
        <v>0</v>
      </c>
      <c r="BC177" s="270">
        <v>0</v>
      </c>
      <c r="BD177" s="270">
        <v>0</v>
      </c>
      <c r="BE177" s="270">
        <v>0</v>
      </c>
      <c r="BF177" s="270">
        <v>0</v>
      </c>
      <c r="BG177" s="270">
        <v>0</v>
      </c>
      <c r="BH177" s="270">
        <v>1992036</v>
      </c>
      <c r="BI177" s="270">
        <v>0</v>
      </c>
      <c r="BJ177" s="270">
        <v>0</v>
      </c>
      <c r="BK177" s="270">
        <v>0</v>
      </c>
      <c r="BL177" s="270">
        <v>233332</v>
      </c>
      <c r="BM177" s="270">
        <v>0</v>
      </c>
      <c r="BN177" s="270">
        <v>0</v>
      </c>
      <c r="BO177" s="270">
        <v>0</v>
      </c>
      <c r="BP177" s="270">
        <v>0</v>
      </c>
      <c r="BQ177" s="270">
        <v>0</v>
      </c>
      <c r="BR177" s="270">
        <v>0</v>
      </c>
      <c r="BS177" s="270">
        <v>0</v>
      </c>
      <c r="BT177" s="298">
        <v>0</v>
      </c>
      <c r="BU177" s="298">
        <v>0</v>
      </c>
      <c r="BV177" s="298">
        <v>0</v>
      </c>
      <c r="BW177" s="298">
        <v>0</v>
      </c>
      <c r="BX177" s="298">
        <v>0</v>
      </c>
      <c r="BY177" s="298">
        <v>0</v>
      </c>
      <c r="BZ177" s="298">
        <v>0</v>
      </c>
      <c r="CA177" s="298">
        <v>0</v>
      </c>
      <c r="CB177" s="298">
        <v>0</v>
      </c>
      <c r="CC177" s="298">
        <v>5712240</v>
      </c>
      <c r="CD177" s="298">
        <v>0</v>
      </c>
      <c r="CE177" s="298">
        <v>16525</v>
      </c>
      <c r="CF177" s="298">
        <v>0</v>
      </c>
      <c r="CG177" s="298">
        <v>0</v>
      </c>
      <c r="CH177" s="298">
        <v>0</v>
      </c>
      <c r="CI177" s="298">
        <v>146013</v>
      </c>
      <c r="CJ177" s="298">
        <v>0</v>
      </c>
      <c r="CK177" s="298">
        <v>0</v>
      </c>
      <c r="CL177" s="298">
        <v>0</v>
      </c>
      <c r="CM177" s="298">
        <v>0</v>
      </c>
      <c r="CN177" s="298">
        <v>0</v>
      </c>
      <c r="CO177" s="298">
        <v>0</v>
      </c>
      <c r="CP177" s="298">
        <v>0</v>
      </c>
      <c r="CQ177" s="298">
        <v>0</v>
      </c>
    </row>
    <row r="178" spans="1:95" x14ac:dyDescent="0.3">
      <c r="A178" s="270">
        <v>528</v>
      </c>
      <c r="B178" s="270">
        <v>528</v>
      </c>
      <c r="C178" s="270" t="s">
        <v>270</v>
      </c>
      <c r="D178" s="270" t="s">
        <v>494</v>
      </c>
      <c r="E178" s="1112">
        <v>21065</v>
      </c>
      <c r="F178" s="1112">
        <v>3612794</v>
      </c>
      <c r="G178" s="1112">
        <v>377295</v>
      </c>
      <c r="H178" s="1112">
        <v>1338274</v>
      </c>
      <c r="I178" s="1112">
        <v>163130</v>
      </c>
      <c r="J178" s="1112">
        <v>262014</v>
      </c>
      <c r="K178" s="1112">
        <v>13894372</v>
      </c>
      <c r="L178" s="1112">
        <v>281731</v>
      </c>
      <c r="M178" s="1112">
        <v>292066</v>
      </c>
      <c r="N178" s="270">
        <v>0</v>
      </c>
      <c r="O178" s="1112">
        <v>472529</v>
      </c>
      <c r="P178" s="1112">
        <v>28245</v>
      </c>
      <c r="Q178" s="1112">
        <v>72898</v>
      </c>
      <c r="R178" s="1112">
        <v>1228774</v>
      </c>
      <c r="S178" s="270">
        <v>388188</v>
      </c>
      <c r="T178" s="1112">
        <v>2304968</v>
      </c>
      <c r="U178" s="1112">
        <v>5542421</v>
      </c>
      <c r="V178" s="1112">
        <v>1588974</v>
      </c>
      <c r="W178" s="1112">
        <v>0</v>
      </c>
      <c r="X178" s="1112">
        <v>1745424</v>
      </c>
      <c r="Y178" s="1112">
        <v>936343</v>
      </c>
      <c r="Z178" s="1112">
        <v>21422</v>
      </c>
      <c r="AA178" s="1112">
        <v>3402081</v>
      </c>
      <c r="AB178" s="1112">
        <v>704990</v>
      </c>
      <c r="AC178" s="1112">
        <v>462566</v>
      </c>
      <c r="AD178" s="1112">
        <v>94510</v>
      </c>
      <c r="AE178" s="1112">
        <v>10230593</v>
      </c>
      <c r="AF178" s="1112">
        <v>87002</v>
      </c>
      <c r="AG178" s="1112">
        <v>1963420</v>
      </c>
      <c r="AH178" s="1112">
        <v>910262</v>
      </c>
      <c r="AI178" s="1112">
        <v>51613</v>
      </c>
      <c r="AJ178" s="1112">
        <v>513814</v>
      </c>
      <c r="AK178" s="1112">
        <v>2237947</v>
      </c>
      <c r="AL178" s="270">
        <v>949674</v>
      </c>
      <c r="AM178" s="1112">
        <v>0</v>
      </c>
      <c r="AN178" s="1112">
        <v>23398</v>
      </c>
      <c r="AO178" s="1112">
        <v>95633</v>
      </c>
      <c r="AP178" s="1112">
        <v>1902578</v>
      </c>
      <c r="AQ178" s="1112">
        <v>257885</v>
      </c>
      <c r="AR178" s="1112">
        <v>47810</v>
      </c>
      <c r="AS178" s="1112">
        <v>19864</v>
      </c>
      <c r="AT178" s="1112">
        <v>385541</v>
      </c>
      <c r="AU178" s="1112">
        <v>24762</v>
      </c>
      <c r="AV178" s="270">
        <v>96218</v>
      </c>
      <c r="AW178" s="1112">
        <v>1777745</v>
      </c>
      <c r="AX178" s="1112">
        <v>163669</v>
      </c>
      <c r="AY178" s="1112">
        <v>25322249</v>
      </c>
      <c r="AZ178" s="1112">
        <v>846893</v>
      </c>
      <c r="BA178" s="1112">
        <v>1360013</v>
      </c>
      <c r="BB178" s="1112">
        <v>126786</v>
      </c>
      <c r="BC178" s="1112">
        <v>444470</v>
      </c>
      <c r="BD178" s="1112">
        <v>700835</v>
      </c>
      <c r="BE178" s="1112">
        <v>52158</v>
      </c>
      <c r="BF178" s="1112">
        <v>435478</v>
      </c>
      <c r="BG178" s="1112">
        <v>1118841</v>
      </c>
      <c r="BH178" s="1112">
        <v>4154641</v>
      </c>
      <c r="BI178" s="1112">
        <v>141752</v>
      </c>
      <c r="BJ178" s="1112">
        <v>3753</v>
      </c>
      <c r="BK178" s="1112">
        <v>6940981</v>
      </c>
      <c r="BL178" s="1112">
        <v>5635012</v>
      </c>
      <c r="BM178" s="1112">
        <v>3156293</v>
      </c>
      <c r="BN178" s="1112">
        <v>25975</v>
      </c>
      <c r="BO178" s="1112">
        <v>1105686</v>
      </c>
      <c r="BP178" s="1112">
        <v>590018</v>
      </c>
      <c r="BQ178" s="1112">
        <v>2931481</v>
      </c>
      <c r="BR178" s="1112">
        <v>0</v>
      </c>
      <c r="BS178" s="1112">
        <v>154903</v>
      </c>
      <c r="BT178" s="298">
        <v>1346463</v>
      </c>
      <c r="BU178" s="298">
        <v>1855249</v>
      </c>
      <c r="BV178" s="298">
        <v>167561</v>
      </c>
      <c r="BW178" s="298">
        <v>744904</v>
      </c>
      <c r="BX178" s="298">
        <v>2229957</v>
      </c>
      <c r="BY178" s="298">
        <v>77171</v>
      </c>
      <c r="BZ178" s="298">
        <v>0</v>
      </c>
      <c r="CA178" s="298">
        <v>2637848</v>
      </c>
      <c r="CB178" s="298">
        <v>71464960</v>
      </c>
      <c r="CC178" s="298">
        <v>21831767</v>
      </c>
      <c r="CD178" s="298">
        <v>604408</v>
      </c>
      <c r="CE178" s="298">
        <v>165214</v>
      </c>
      <c r="CF178" s="298">
        <v>187688</v>
      </c>
      <c r="CG178" s="298">
        <v>502346</v>
      </c>
      <c r="CH178" s="298">
        <v>123504299</v>
      </c>
      <c r="CI178" s="298">
        <v>3434418</v>
      </c>
      <c r="CJ178" s="298">
        <v>214005</v>
      </c>
      <c r="CK178" s="298">
        <v>2193948</v>
      </c>
      <c r="CL178" s="298">
        <v>147493</v>
      </c>
      <c r="CM178" s="298">
        <v>3358141</v>
      </c>
      <c r="CN178" s="298">
        <v>1124455</v>
      </c>
      <c r="CO178" s="298">
        <v>318648</v>
      </c>
      <c r="CP178" s="298">
        <v>1365263</v>
      </c>
      <c r="CQ178" s="298">
        <v>6275561</v>
      </c>
    </row>
    <row r="179" spans="1:95" x14ac:dyDescent="0.3">
      <c r="A179" s="270">
        <v>529</v>
      </c>
      <c r="B179" s="270">
        <v>529</v>
      </c>
      <c r="C179" s="270" t="s">
        <v>271</v>
      </c>
      <c r="D179" s="270" t="s">
        <v>495</v>
      </c>
      <c r="E179" s="1112">
        <v>3622</v>
      </c>
      <c r="F179" s="1112">
        <v>409820</v>
      </c>
      <c r="G179" s="1112">
        <v>58047</v>
      </c>
      <c r="H179" s="1112">
        <v>163700</v>
      </c>
      <c r="I179" s="1112">
        <v>27579</v>
      </c>
      <c r="J179" s="1112">
        <v>30842</v>
      </c>
      <c r="K179" s="1112">
        <v>1008155</v>
      </c>
      <c r="L179" s="1112">
        <v>41327</v>
      </c>
      <c r="M179" s="1112">
        <v>40381</v>
      </c>
      <c r="N179" s="270">
        <v>0</v>
      </c>
      <c r="O179" s="1112">
        <v>66634</v>
      </c>
      <c r="P179" s="1112">
        <v>3274</v>
      </c>
      <c r="Q179" s="1112">
        <v>12808</v>
      </c>
      <c r="R179" s="1112">
        <v>29066</v>
      </c>
      <c r="S179" s="270">
        <v>39658</v>
      </c>
      <c r="T179" s="1112">
        <v>88687</v>
      </c>
      <c r="U179" s="1112">
        <v>160253</v>
      </c>
      <c r="V179" s="1112">
        <v>120397</v>
      </c>
      <c r="W179" s="1112">
        <v>0</v>
      </c>
      <c r="X179" s="1112">
        <v>83969</v>
      </c>
      <c r="Y179" s="1112">
        <v>95150</v>
      </c>
      <c r="Z179" s="1112">
        <v>4133</v>
      </c>
      <c r="AA179" s="1112">
        <v>388032</v>
      </c>
      <c r="AB179" s="1112">
        <v>46746</v>
      </c>
      <c r="AC179" s="270">
        <v>25521</v>
      </c>
      <c r="AD179" s="1112">
        <v>13446</v>
      </c>
      <c r="AE179" s="1112">
        <v>1000907</v>
      </c>
      <c r="AF179" s="1112">
        <v>14608</v>
      </c>
      <c r="AG179" s="1112">
        <v>23440</v>
      </c>
      <c r="AH179" s="1112">
        <v>91490</v>
      </c>
      <c r="AI179" s="1112">
        <v>13401</v>
      </c>
      <c r="AJ179" s="1112">
        <v>66827</v>
      </c>
      <c r="AK179" s="1112">
        <v>179244</v>
      </c>
      <c r="AL179" s="270">
        <v>94822</v>
      </c>
      <c r="AM179" s="1112">
        <v>0</v>
      </c>
      <c r="AN179" s="1112">
        <v>3843</v>
      </c>
      <c r="AO179" s="1112">
        <v>15128</v>
      </c>
      <c r="AP179" s="1112">
        <v>189410</v>
      </c>
      <c r="AQ179" s="1112">
        <v>31342</v>
      </c>
      <c r="AR179" s="1112">
        <v>4349</v>
      </c>
      <c r="AS179" s="1112">
        <v>2771</v>
      </c>
      <c r="AT179" s="1112">
        <v>35717</v>
      </c>
      <c r="AU179" s="1112">
        <v>3565</v>
      </c>
      <c r="AV179" s="270">
        <v>13166</v>
      </c>
      <c r="AW179" s="1112">
        <v>182315</v>
      </c>
      <c r="AX179" s="1112">
        <v>30077</v>
      </c>
      <c r="AY179" s="1112">
        <v>2416534</v>
      </c>
      <c r="AZ179" s="270">
        <v>96597</v>
      </c>
      <c r="BA179" s="1112">
        <v>114185</v>
      </c>
      <c r="BB179" s="1112">
        <v>14787</v>
      </c>
      <c r="BC179" s="1112">
        <v>41979</v>
      </c>
      <c r="BD179" s="270">
        <v>66875</v>
      </c>
      <c r="BE179" s="1112">
        <v>8868</v>
      </c>
      <c r="BF179" s="1112">
        <v>33640</v>
      </c>
      <c r="BG179" s="1112">
        <v>76647</v>
      </c>
      <c r="BH179" s="1112">
        <v>424100</v>
      </c>
      <c r="BI179" s="1112">
        <v>10591</v>
      </c>
      <c r="BJ179" s="1112">
        <v>736</v>
      </c>
      <c r="BK179" s="1112">
        <v>791977</v>
      </c>
      <c r="BL179" s="1112">
        <v>454321</v>
      </c>
      <c r="BM179" s="1112">
        <v>161061</v>
      </c>
      <c r="BN179" s="1112">
        <v>1932</v>
      </c>
      <c r="BO179" s="1112">
        <v>105644</v>
      </c>
      <c r="BP179" s="1112">
        <v>81694</v>
      </c>
      <c r="BQ179" s="1112">
        <v>288602</v>
      </c>
      <c r="BR179" s="1112">
        <v>0</v>
      </c>
      <c r="BS179" s="1112">
        <v>18304</v>
      </c>
      <c r="BT179" s="298">
        <v>52477</v>
      </c>
      <c r="BU179" s="298">
        <v>154120</v>
      </c>
      <c r="BV179" s="298">
        <v>31084</v>
      </c>
      <c r="BW179" s="298">
        <v>26692</v>
      </c>
      <c r="BX179" s="298">
        <v>223633</v>
      </c>
      <c r="BY179" s="298">
        <v>8866</v>
      </c>
      <c r="BZ179" s="298">
        <v>0</v>
      </c>
      <c r="CA179" s="298">
        <v>262459</v>
      </c>
      <c r="CB179" s="298">
        <v>5091925</v>
      </c>
      <c r="CC179" s="298">
        <v>2296412</v>
      </c>
      <c r="CD179" s="298">
        <v>87476</v>
      </c>
      <c r="CE179" s="298">
        <v>30910</v>
      </c>
      <c r="CF179" s="298">
        <v>19794</v>
      </c>
      <c r="CG179" s="298">
        <v>72330</v>
      </c>
      <c r="CH179" s="298">
        <v>11486112</v>
      </c>
      <c r="CI179" s="298">
        <v>471246</v>
      </c>
      <c r="CJ179" s="298">
        <v>29853</v>
      </c>
      <c r="CK179" s="298">
        <v>173681</v>
      </c>
      <c r="CL179" s="298">
        <v>20786</v>
      </c>
      <c r="CM179" s="298">
        <v>53163</v>
      </c>
      <c r="CN179" s="298">
        <v>139892</v>
      </c>
      <c r="CO179" s="298">
        <v>20170</v>
      </c>
      <c r="CP179" s="298">
        <v>81775</v>
      </c>
      <c r="CQ179" s="298">
        <v>284212</v>
      </c>
    </row>
    <row r="180" spans="1:95" x14ac:dyDescent="0.3">
      <c r="A180" s="270">
        <v>530</v>
      </c>
      <c r="B180" s="270">
        <v>530</v>
      </c>
      <c r="C180" s="270" t="s">
        <v>272</v>
      </c>
      <c r="D180" s="270" t="s">
        <v>496</v>
      </c>
      <c r="E180" s="1112">
        <v>367</v>
      </c>
      <c r="F180" s="1112">
        <v>6475</v>
      </c>
      <c r="G180" s="1112">
        <v>7430</v>
      </c>
      <c r="H180" s="1112">
        <v>10970</v>
      </c>
      <c r="I180" s="1112">
        <v>6141</v>
      </c>
      <c r="J180" s="1112">
        <v>12005</v>
      </c>
      <c r="K180" s="1112">
        <v>192200</v>
      </c>
      <c r="L180" s="1112">
        <v>1571</v>
      </c>
      <c r="M180" s="1112">
        <v>1535</v>
      </c>
      <c r="N180" s="270">
        <v>0</v>
      </c>
      <c r="O180" s="1112">
        <v>5134</v>
      </c>
      <c r="P180" s="270">
        <v>1260</v>
      </c>
      <c r="Q180" s="1112">
        <v>2984</v>
      </c>
      <c r="R180" s="1112">
        <v>15162</v>
      </c>
      <c r="S180" s="270">
        <v>1725</v>
      </c>
      <c r="T180" s="1112">
        <v>16299</v>
      </c>
      <c r="U180" s="1112">
        <v>129481</v>
      </c>
      <c r="V180" s="1112">
        <v>10009</v>
      </c>
      <c r="W180" s="1112">
        <v>0</v>
      </c>
      <c r="X180" s="270">
        <v>38816</v>
      </c>
      <c r="Y180" s="1112">
        <v>40331</v>
      </c>
      <c r="Z180" s="1112">
        <v>2969</v>
      </c>
      <c r="AA180" s="1112">
        <v>127788</v>
      </c>
      <c r="AB180" s="1112">
        <v>13723</v>
      </c>
      <c r="AC180" s="1112">
        <v>1880</v>
      </c>
      <c r="AD180" s="1112">
        <v>5524</v>
      </c>
      <c r="AE180" s="1112">
        <v>352850</v>
      </c>
      <c r="AF180" s="1112">
        <v>788</v>
      </c>
      <c r="AG180" s="270">
        <v>9491</v>
      </c>
      <c r="AH180" s="1112">
        <v>401</v>
      </c>
      <c r="AI180" s="1112">
        <v>2505</v>
      </c>
      <c r="AJ180" s="1112">
        <v>4419</v>
      </c>
      <c r="AK180" s="1112">
        <v>0</v>
      </c>
      <c r="AL180" s="270">
        <v>23956</v>
      </c>
      <c r="AM180" s="1112">
        <v>0</v>
      </c>
      <c r="AN180" s="1112">
        <v>369</v>
      </c>
      <c r="AO180" s="1112">
        <v>2078</v>
      </c>
      <c r="AP180" s="1112">
        <v>58217</v>
      </c>
      <c r="AQ180" s="270">
        <v>6394</v>
      </c>
      <c r="AR180" s="1112">
        <v>2033</v>
      </c>
      <c r="AS180" s="1112">
        <v>790</v>
      </c>
      <c r="AT180" s="1112">
        <v>3198</v>
      </c>
      <c r="AU180" s="1112">
        <v>636</v>
      </c>
      <c r="AV180" s="270">
        <v>1850</v>
      </c>
      <c r="AW180" s="1112">
        <v>110533</v>
      </c>
      <c r="AX180" s="1112">
        <v>19853</v>
      </c>
      <c r="AY180" s="1112">
        <v>35062</v>
      </c>
      <c r="AZ180" s="270">
        <v>9211</v>
      </c>
      <c r="BA180" s="1112">
        <v>88984</v>
      </c>
      <c r="BB180" s="1112">
        <v>2675</v>
      </c>
      <c r="BC180" s="1112">
        <v>14296</v>
      </c>
      <c r="BD180" s="270">
        <v>797</v>
      </c>
      <c r="BE180" s="1112">
        <v>830</v>
      </c>
      <c r="BF180" s="1112">
        <v>13229</v>
      </c>
      <c r="BG180" s="1112">
        <v>36893</v>
      </c>
      <c r="BH180" s="1112">
        <v>80293</v>
      </c>
      <c r="BI180" s="1112">
        <v>2274</v>
      </c>
      <c r="BJ180" s="1112">
        <v>184</v>
      </c>
      <c r="BK180" s="1112">
        <v>22731</v>
      </c>
      <c r="BL180" s="1112">
        <v>187751</v>
      </c>
      <c r="BM180" s="1112">
        <v>9531</v>
      </c>
      <c r="BN180" s="1112">
        <v>358</v>
      </c>
      <c r="BO180" s="1112">
        <v>7492</v>
      </c>
      <c r="BP180" s="1112">
        <v>25350</v>
      </c>
      <c r="BQ180" s="1112">
        <v>8179</v>
      </c>
      <c r="BR180" s="1112">
        <v>0</v>
      </c>
      <c r="BS180" s="1112">
        <v>566</v>
      </c>
      <c r="BT180" s="298">
        <v>35458</v>
      </c>
      <c r="BU180" s="298">
        <v>900</v>
      </c>
      <c r="BV180" s="298">
        <v>9341</v>
      </c>
      <c r="BW180" s="298">
        <v>14454</v>
      </c>
      <c r="BX180" s="298">
        <v>25013</v>
      </c>
      <c r="BY180" s="298">
        <v>1686</v>
      </c>
      <c r="BZ180" s="298">
        <v>0</v>
      </c>
      <c r="CA180" s="298">
        <v>197280</v>
      </c>
      <c r="CB180" s="298">
        <v>567800</v>
      </c>
      <c r="CC180" s="298">
        <v>410050</v>
      </c>
      <c r="CD180" s="298">
        <v>118</v>
      </c>
      <c r="CE180" s="298">
        <v>4199</v>
      </c>
      <c r="CF180" s="298">
        <v>9737</v>
      </c>
      <c r="CG180" s="298">
        <v>3917</v>
      </c>
      <c r="CH180" s="298">
        <v>946502</v>
      </c>
      <c r="CI180" s="298">
        <v>44285</v>
      </c>
      <c r="CJ180" s="298">
        <v>10980</v>
      </c>
      <c r="CK180" s="298">
        <v>5567</v>
      </c>
      <c r="CL180" s="298">
        <v>17678</v>
      </c>
      <c r="CM180" s="298">
        <v>10608</v>
      </c>
      <c r="CN180" s="298">
        <v>23029</v>
      </c>
      <c r="CO180" s="298">
        <v>6928</v>
      </c>
      <c r="CP180" s="298">
        <v>39545</v>
      </c>
      <c r="CQ180" s="298">
        <v>23224</v>
      </c>
    </row>
    <row r="181" spans="1:95" x14ac:dyDescent="0.3">
      <c r="A181" s="270">
        <v>531</v>
      </c>
      <c r="B181" s="270">
        <v>531</v>
      </c>
      <c r="C181" s="270" t="s">
        <v>273</v>
      </c>
      <c r="D181" s="270" t="s">
        <v>497</v>
      </c>
      <c r="E181" s="270">
        <v>0</v>
      </c>
      <c r="F181" s="270">
        <v>1033</v>
      </c>
      <c r="G181" s="270">
        <v>0</v>
      </c>
      <c r="H181" s="1112">
        <v>0</v>
      </c>
      <c r="I181" s="270">
        <v>0</v>
      </c>
      <c r="J181" s="1112">
        <v>0</v>
      </c>
      <c r="K181" s="270">
        <v>0</v>
      </c>
      <c r="L181" s="270">
        <v>0</v>
      </c>
      <c r="M181" s="1112">
        <v>143</v>
      </c>
      <c r="N181" s="270">
        <v>0</v>
      </c>
      <c r="O181" s="270">
        <v>0</v>
      </c>
      <c r="P181" s="270">
        <v>0</v>
      </c>
      <c r="Q181" s="1112">
        <v>0</v>
      </c>
      <c r="R181" s="270">
        <v>0</v>
      </c>
      <c r="S181" s="270">
        <v>0</v>
      </c>
      <c r="T181" s="270">
        <v>0</v>
      </c>
      <c r="U181" s="270">
        <v>0</v>
      </c>
      <c r="V181" s="270">
        <v>0</v>
      </c>
      <c r="W181" s="270">
        <v>0</v>
      </c>
      <c r="X181" s="270">
        <v>0</v>
      </c>
      <c r="Y181" s="270">
        <v>0</v>
      </c>
      <c r="Z181" s="270">
        <v>0</v>
      </c>
      <c r="AA181" s="270">
        <v>0</v>
      </c>
      <c r="AB181" s="270">
        <v>0</v>
      </c>
      <c r="AC181" s="270">
        <v>0</v>
      </c>
      <c r="AD181" s="270">
        <v>0</v>
      </c>
      <c r="AE181" s="270">
        <v>5860</v>
      </c>
      <c r="AF181" s="270">
        <v>0</v>
      </c>
      <c r="AG181" s="270">
        <v>151</v>
      </c>
      <c r="AH181" s="270">
        <v>0</v>
      </c>
      <c r="AI181" s="270">
        <v>0</v>
      </c>
      <c r="AJ181" s="270">
        <v>0</v>
      </c>
      <c r="AK181" s="270">
        <v>0</v>
      </c>
      <c r="AL181" s="270">
        <v>0</v>
      </c>
      <c r="AM181" s="270">
        <v>0</v>
      </c>
      <c r="AN181" s="270">
        <v>0</v>
      </c>
      <c r="AO181" s="270">
        <v>0</v>
      </c>
      <c r="AP181" s="270">
        <v>18613</v>
      </c>
      <c r="AQ181" s="270">
        <v>0</v>
      </c>
      <c r="AR181" s="270">
        <v>0</v>
      </c>
      <c r="AS181" s="270">
        <v>0</v>
      </c>
      <c r="AT181" s="270">
        <v>0</v>
      </c>
      <c r="AU181" s="270">
        <v>0</v>
      </c>
      <c r="AV181" s="270">
        <v>80</v>
      </c>
      <c r="AW181" s="270">
        <v>0</v>
      </c>
      <c r="AX181" s="270">
        <v>0</v>
      </c>
      <c r="AY181" s="270">
        <v>9136</v>
      </c>
      <c r="AZ181" s="270">
        <v>0</v>
      </c>
      <c r="BA181" s="270">
        <v>0</v>
      </c>
      <c r="BB181" s="270">
        <v>0</v>
      </c>
      <c r="BC181" s="270">
        <v>0</v>
      </c>
      <c r="BD181" s="270">
        <v>0</v>
      </c>
      <c r="BE181" s="270">
        <v>0</v>
      </c>
      <c r="BF181" s="270">
        <v>0</v>
      </c>
      <c r="BG181" s="270">
        <v>0</v>
      </c>
      <c r="BH181" s="270">
        <v>0</v>
      </c>
      <c r="BI181" s="270">
        <v>0</v>
      </c>
      <c r="BJ181" s="270">
        <v>0</v>
      </c>
      <c r="BK181" s="270">
        <v>0</v>
      </c>
      <c r="BL181" s="270">
        <v>0</v>
      </c>
      <c r="BM181" s="270">
        <v>0</v>
      </c>
      <c r="BN181" s="270">
        <v>0</v>
      </c>
      <c r="BO181" s="270">
        <v>0</v>
      </c>
      <c r="BP181" s="1112">
        <v>72</v>
      </c>
      <c r="BQ181" s="1112">
        <v>0</v>
      </c>
      <c r="BR181" s="270">
        <v>0</v>
      </c>
      <c r="BS181" s="270">
        <v>0</v>
      </c>
      <c r="BT181" s="298">
        <v>0</v>
      </c>
      <c r="BU181" s="298">
        <v>0</v>
      </c>
      <c r="BV181" s="298">
        <v>0</v>
      </c>
      <c r="BW181" s="298">
        <v>0</v>
      </c>
      <c r="BX181" s="298">
        <v>0</v>
      </c>
      <c r="BY181" s="298">
        <v>0</v>
      </c>
      <c r="BZ181" s="298">
        <v>0</v>
      </c>
      <c r="CA181" s="298">
        <v>0</v>
      </c>
      <c r="CB181" s="298">
        <v>0</v>
      </c>
      <c r="CC181" s="298">
        <v>7964</v>
      </c>
      <c r="CD181" s="298">
        <v>0</v>
      </c>
      <c r="CE181" s="298">
        <v>32</v>
      </c>
      <c r="CF181" s="298">
        <v>0</v>
      </c>
      <c r="CG181" s="298">
        <v>0</v>
      </c>
      <c r="CH181" s="298">
        <v>0</v>
      </c>
      <c r="CI181" s="298">
        <v>0</v>
      </c>
      <c r="CJ181" s="298">
        <v>0</v>
      </c>
      <c r="CK181" s="298">
        <v>0</v>
      </c>
      <c r="CL181" s="298">
        <v>0</v>
      </c>
      <c r="CM181" s="298">
        <v>0</v>
      </c>
      <c r="CN181" s="298">
        <v>0</v>
      </c>
      <c r="CO181" s="298">
        <v>0</v>
      </c>
      <c r="CP181" s="298">
        <v>0</v>
      </c>
      <c r="CQ181" s="298">
        <v>2959</v>
      </c>
    </row>
    <row r="182" spans="1:95" x14ac:dyDescent="0.3">
      <c r="A182" s="270">
        <v>532</v>
      </c>
      <c r="B182" s="270">
        <v>532</v>
      </c>
      <c r="C182" s="270" t="s">
        <v>567</v>
      </c>
      <c r="D182" s="270" t="s">
        <v>498</v>
      </c>
      <c r="E182" s="1112">
        <v>104378</v>
      </c>
      <c r="F182" s="1112">
        <v>6504564</v>
      </c>
      <c r="G182" s="1112">
        <v>976676</v>
      </c>
      <c r="H182" s="1112">
        <v>3099294</v>
      </c>
      <c r="I182" s="1112">
        <v>858978</v>
      </c>
      <c r="J182" s="1112">
        <v>685148</v>
      </c>
      <c r="K182" s="1112">
        <v>32362166</v>
      </c>
      <c r="L182" s="1112">
        <v>771816</v>
      </c>
      <c r="M182" s="1112">
        <v>600910</v>
      </c>
      <c r="N182" s="1112">
        <v>424495</v>
      </c>
      <c r="O182" s="1112">
        <v>1330977</v>
      </c>
      <c r="P182" s="1112">
        <v>100929</v>
      </c>
      <c r="Q182" s="1112">
        <v>359476</v>
      </c>
      <c r="R182" s="1112">
        <v>1911208</v>
      </c>
      <c r="S182" s="270">
        <v>1382358</v>
      </c>
      <c r="T182" s="1112">
        <v>6903255</v>
      </c>
      <c r="U182" s="1112">
        <v>9343365</v>
      </c>
      <c r="V182" s="1112">
        <v>5050881</v>
      </c>
      <c r="W182" s="1112">
        <v>197349</v>
      </c>
      <c r="X182" s="1112">
        <v>3272410</v>
      </c>
      <c r="Y182" s="1112">
        <v>2783893</v>
      </c>
      <c r="Z182" s="1112">
        <v>81755</v>
      </c>
      <c r="AA182" s="1112">
        <v>11264676</v>
      </c>
      <c r="AB182" s="1112">
        <v>1852094</v>
      </c>
      <c r="AC182" s="1112">
        <v>719872</v>
      </c>
      <c r="AD182" s="1112">
        <v>237539</v>
      </c>
      <c r="AE182" s="1112">
        <v>22116979</v>
      </c>
      <c r="AF182" s="1112">
        <v>767245</v>
      </c>
      <c r="AG182" s="1112">
        <v>2912691</v>
      </c>
      <c r="AH182" s="1112">
        <v>2500985</v>
      </c>
      <c r="AI182" s="1112">
        <v>98905</v>
      </c>
      <c r="AJ182" s="1112">
        <v>1872680</v>
      </c>
      <c r="AK182" s="1112">
        <v>3507728</v>
      </c>
      <c r="AL182" s="270">
        <v>3070793</v>
      </c>
      <c r="AM182" s="1112">
        <v>0</v>
      </c>
      <c r="AN182" s="1112">
        <v>167295</v>
      </c>
      <c r="AO182" s="1112">
        <v>396141</v>
      </c>
      <c r="AP182" s="1112">
        <v>5129278</v>
      </c>
      <c r="AQ182" s="1112">
        <v>827269</v>
      </c>
      <c r="AR182" s="1112">
        <v>91361</v>
      </c>
      <c r="AS182" s="1112">
        <v>262104</v>
      </c>
      <c r="AT182" s="1112">
        <v>831373</v>
      </c>
      <c r="AU182" s="1112">
        <v>90375</v>
      </c>
      <c r="AV182" s="270">
        <v>537287</v>
      </c>
      <c r="AW182" s="1112">
        <v>4395135</v>
      </c>
      <c r="AX182" s="1112">
        <v>343358</v>
      </c>
      <c r="AY182" s="1112">
        <v>39098031</v>
      </c>
      <c r="AZ182" s="1112">
        <v>1571663</v>
      </c>
      <c r="BA182" s="1112">
        <v>4152493</v>
      </c>
      <c r="BB182" s="1112">
        <v>553818</v>
      </c>
      <c r="BC182" s="1112">
        <v>843123</v>
      </c>
      <c r="BD182" s="1112">
        <v>1383173</v>
      </c>
      <c r="BE182" s="1112">
        <v>227636</v>
      </c>
      <c r="BF182" s="1112">
        <v>973509</v>
      </c>
      <c r="BG182" s="1112">
        <v>2730373</v>
      </c>
      <c r="BH182" s="1112">
        <v>12139520</v>
      </c>
      <c r="BI182" s="1112">
        <v>270695</v>
      </c>
      <c r="BJ182" s="1112">
        <v>57834</v>
      </c>
      <c r="BK182" s="1112">
        <v>9446176</v>
      </c>
      <c r="BL182" s="1112">
        <v>13957835</v>
      </c>
      <c r="BM182" s="1112">
        <v>6698102</v>
      </c>
      <c r="BN182" s="1112">
        <v>79994</v>
      </c>
      <c r="BO182" s="1112">
        <v>1687992</v>
      </c>
      <c r="BP182" s="1112">
        <v>1420185</v>
      </c>
      <c r="BQ182" s="1112">
        <v>6419048</v>
      </c>
      <c r="BR182" s="1112">
        <v>505954</v>
      </c>
      <c r="BS182" s="1112">
        <v>719156</v>
      </c>
      <c r="BT182" s="298">
        <v>2391951</v>
      </c>
      <c r="BU182" s="298">
        <v>3235264</v>
      </c>
      <c r="BV182" s="298">
        <v>534565</v>
      </c>
      <c r="BW182" s="298">
        <v>1731396</v>
      </c>
      <c r="BX182" s="298">
        <v>4929475</v>
      </c>
      <c r="BY182" s="298">
        <v>154097</v>
      </c>
      <c r="BZ182" s="298">
        <v>0</v>
      </c>
      <c r="CA182" s="298">
        <v>6007863</v>
      </c>
      <c r="CB182" s="298">
        <v>115360602</v>
      </c>
      <c r="CC182" s="298">
        <v>51516292</v>
      </c>
      <c r="CD182" s="298">
        <v>1045411</v>
      </c>
      <c r="CE182" s="298">
        <v>3003957</v>
      </c>
      <c r="CF182" s="298">
        <v>505685</v>
      </c>
      <c r="CG182" s="298">
        <v>1552761</v>
      </c>
      <c r="CH182" s="298">
        <v>197739195</v>
      </c>
      <c r="CI182" s="298">
        <v>9529204</v>
      </c>
      <c r="CJ182" s="298">
        <v>579089</v>
      </c>
      <c r="CK182" s="298">
        <v>4002628</v>
      </c>
      <c r="CL182" s="298">
        <v>302334</v>
      </c>
      <c r="CM182" s="298">
        <v>10371470</v>
      </c>
      <c r="CN182" s="298">
        <v>2698575</v>
      </c>
      <c r="CO182" s="298">
        <v>1069444</v>
      </c>
      <c r="CP182" s="298">
        <v>2325451</v>
      </c>
      <c r="CQ182" s="298">
        <v>11379987</v>
      </c>
    </row>
    <row r="183" spans="1:95" x14ac:dyDescent="0.3">
      <c r="A183" s="270">
        <v>533</v>
      </c>
      <c r="B183" s="270">
        <v>533</v>
      </c>
      <c r="C183" s="270" t="s">
        <v>568</v>
      </c>
      <c r="D183" s="270" t="s">
        <v>499</v>
      </c>
      <c r="E183" s="1112">
        <v>0</v>
      </c>
      <c r="F183" s="270">
        <v>0</v>
      </c>
      <c r="G183" s="270">
        <v>0</v>
      </c>
      <c r="H183" s="1112">
        <v>30810</v>
      </c>
      <c r="I183" s="270">
        <v>0</v>
      </c>
      <c r="J183" s="270">
        <v>0</v>
      </c>
      <c r="K183" s="270">
        <v>0</v>
      </c>
      <c r="L183" s="270">
        <v>82373</v>
      </c>
      <c r="M183" s="270">
        <v>0</v>
      </c>
      <c r="N183" s="270">
        <v>0</v>
      </c>
      <c r="O183" s="270">
        <v>0</v>
      </c>
      <c r="P183" s="1112">
        <v>0</v>
      </c>
      <c r="Q183" s="1112">
        <v>0</v>
      </c>
      <c r="R183" s="270">
        <v>0</v>
      </c>
      <c r="S183" s="270">
        <v>0</v>
      </c>
      <c r="T183" s="270">
        <v>0</v>
      </c>
      <c r="U183" s="270">
        <v>0</v>
      </c>
      <c r="V183" s="270">
        <v>0</v>
      </c>
      <c r="W183" s="270">
        <v>0</v>
      </c>
      <c r="X183" s="270">
        <v>0</v>
      </c>
      <c r="Y183" s="1112">
        <v>177285</v>
      </c>
      <c r="Z183" s="270">
        <v>0</v>
      </c>
      <c r="AA183" s="270">
        <v>0</v>
      </c>
      <c r="AB183" s="1112">
        <v>0</v>
      </c>
      <c r="AC183" s="270">
        <v>0</v>
      </c>
      <c r="AD183" s="1112">
        <v>0</v>
      </c>
      <c r="AE183" s="270">
        <v>1580200</v>
      </c>
      <c r="AF183" s="270">
        <v>0</v>
      </c>
      <c r="AG183" s="270">
        <v>0</v>
      </c>
      <c r="AH183" s="1112">
        <v>0</v>
      </c>
      <c r="AI183" s="270">
        <v>0</v>
      </c>
      <c r="AJ183" s="270">
        <v>0</v>
      </c>
      <c r="AK183" s="1112">
        <v>0</v>
      </c>
      <c r="AL183" s="270">
        <v>74591</v>
      </c>
      <c r="AM183" s="270">
        <v>0</v>
      </c>
      <c r="AN183" s="270">
        <v>0</v>
      </c>
      <c r="AO183" s="270">
        <v>0</v>
      </c>
      <c r="AP183" s="1112">
        <v>0</v>
      </c>
      <c r="AQ183" s="270">
        <v>0</v>
      </c>
      <c r="AR183" s="270">
        <v>0</v>
      </c>
      <c r="AS183" s="270">
        <v>0</v>
      </c>
      <c r="AT183" s="270">
        <v>0</v>
      </c>
      <c r="AU183" s="270">
        <v>0</v>
      </c>
      <c r="AV183" s="270">
        <v>0</v>
      </c>
      <c r="AW183" s="1112">
        <v>0</v>
      </c>
      <c r="AX183" s="1112">
        <v>0</v>
      </c>
      <c r="AY183" s="1112">
        <v>683650</v>
      </c>
      <c r="AZ183" s="270">
        <v>0</v>
      </c>
      <c r="BA183" s="270">
        <v>0</v>
      </c>
      <c r="BB183" s="1112">
        <v>0</v>
      </c>
      <c r="BC183" s="270">
        <v>0</v>
      </c>
      <c r="BD183" s="270">
        <v>0</v>
      </c>
      <c r="BE183" s="270">
        <v>0</v>
      </c>
      <c r="BF183" s="1112">
        <v>0</v>
      </c>
      <c r="BG183" s="270">
        <v>0</v>
      </c>
      <c r="BH183" s="270">
        <v>0</v>
      </c>
      <c r="BI183" s="270">
        <v>0</v>
      </c>
      <c r="BJ183" s="270">
        <v>0</v>
      </c>
      <c r="BK183" s="1112">
        <v>0</v>
      </c>
      <c r="BL183" s="270">
        <v>0</v>
      </c>
      <c r="BM183" s="270">
        <v>0</v>
      </c>
      <c r="BN183" s="270">
        <v>0</v>
      </c>
      <c r="BO183" s="270">
        <v>0</v>
      </c>
      <c r="BP183" s="1112">
        <v>0</v>
      </c>
      <c r="BQ183" s="1112">
        <v>0</v>
      </c>
      <c r="BR183" s="270">
        <v>0</v>
      </c>
      <c r="BS183" s="270">
        <v>0</v>
      </c>
      <c r="BT183" s="298">
        <v>0</v>
      </c>
      <c r="BU183" s="298">
        <v>0</v>
      </c>
      <c r="BV183" s="298">
        <v>0</v>
      </c>
      <c r="BW183" s="298">
        <v>0</v>
      </c>
      <c r="BX183" s="298">
        <v>0</v>
      </c>
      <c r="BY183" s="298">
        <v>0</v>
      </c>
      <c r="BZ183" s="298">
        <v>0</v>
      </c>
      <c r="CA183" s="298">
        <v>163451</v>
      </c>
      <c r="CB183" s="298">
        <v>0</v>
      </c>
      <c r="CC183" s="298">
        <v>0</v>
      </c>
      <c r="CD183" s="298">
        <v>0</v>
      </c>
      <c r="CE183" s="298">
        <v>0</v>
      </c>
      <c r="CF183" s="298">
        <v>0</v>
      </c>
      <c r="CG183" s="298">
        <v>0</v>
      </c>
      <c r="CH183" s="298">
        <v>0</v>
      </c>
      <c r="CI183" s="298">
        <v>1113171</v>
      </c>
      <c r="CJ183" s="298">
        <v>0</v>
      </c>
      <c r="CK183" s="298">
        <v>0</v>
      </c>
      <c r="CL183" s="298">
        <v>0</v>
      </c>
      <c r="CM183" s="298">
        <v>0</v>
      </c>
      <c r="CN183" s="298">
        <v>0</v>
      </c>
      <c r="CO183" s="298">
        <v>234933</v>
      </c>
      <c r="CP183" s="298">
        <v>280036</v>
      </c>
      <c r="CQ183" s="298">
        <v>1700000</v>
      </c>
    </row>
    <row r="184" spans="1:95" x14ac:dyDescent="0.3">
      <c r="A184" s="270">
        <v>535</v>
      </c>
      <c r="B184" s="270">
        <v>534</v>
      </c>
      <c r="C184" s="270" t="s">
        <v>274</v>
      </c>
      <c r="D184" s="270" t="s">
        <v>500</v>
      </c>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c r="AA184" s="270"/>
      <c r="AB184" s="270"/>
      <c r="AC184" s="270"/>
      <c r="AD184" s="270"/>
      <c r="AE184" s="270"/>
      <c r="AF184" s="270"/>
      <c r="AG184" s="270"/>
      <c r="AH184" s="270"/>
      <c r="AI184" s="270"/>
      <c r="AJ184" s="270"/>
      <c r="AK184" s="270"/>
      <c r="AL184" s="270"/>
      <c r="AM184" s="270"/>
      <c r="AN184" s="270"/>
      <c r="AO184" s="270"/>
      <c r="AP184" s="270"/>
      <c r="AQ184" s="270"/>
      <c r="AR184" s="270"/>
      <c r="AS184" s="270"/>
      <c r="AT184" s="270"/>
      <c r="AU184" s="270"/>
      <c r="AV184" s="270"/>
      <c r="AW184" s="270"/>
      <c r="AX184" s="270"/>
      <c r="AY184" s="270"/>
      <c r="AZ184" s="270"/>
      <c r="BA184" s="270"/>
      <c r="BB184" s="270"/>
      <c r="BC184" s="270"/>
      <c r="BD184" s="270"/>
      <c r="BE184" s="270"/>
      <c r="BF184" s="270"/>
      <c r="BG184" s="270"/>
      <c r="BH184" s="270"/>
      <c r="BI184" s="270"/>
      <c r="BJ184" s="270"/>
      <c r="BK184" s="270"/>
      <c r="BL184" s="270"/>
      <c r="BM184" s="270"/>
      <c r="BN184" s="270"/>
      <c r="BO184" s="270"/>
      <c r="BP184" s="270"/>
      <c r="BQ184" s="270"/>
      <c r="BR184" s="270"/>
      <c r="BS184" s="270"/>
    </row>
    <row r="185" spans="1:95" x14ac:dyDescent="0.3">
      <c r="A185" s="270">
        <v>536</v>
      </c>
      <c r="B185" s="270">
        <v>535</v>
      </c>
      <c r="C185" s="270" t="s">
        <v>253</v>
      </c>
      <c r="D185" s="270" t="s">
        <v>501</v>
      </c>
      <c r="E185" s="270">
        <v>0</v>
      </c>
      <c r="F185" s="270">
        <v>2327320</v>
      </c>
      <c r="G185" s="270">
        <v>0</v>
      </c>
      <c r="H185" s="270">
        <v>0</v>
      </c>
      <c r="I185" s="270">
        <v>0</v>
      </c>
      <c r="J185" s="270">
        <v>0</v>
      </c>
      <c r="K185" s="270">
        <v>0</v>
      </c>
      <c r="L185" s="270">
        <v>0</v>
      </c>
      <c r="M185" s="1112">
        <v>0</v>
      </c>
      <c r="N185" s="270">
        <v>0</v>
      </c>
      <c r="O185" s="270">
        <v>0</v>
      </c>
      <c r="P185" s="270">
        <v>0</v>
      </c>
      <c r="Q185" s="1112">
        <v>0</v>
      </c>
      <c r="R185" s="270">
        <v>0</v>
      </c>
      <c r="S185" s="270">
        <v>0</v>
      </c>
      <c r="T185" s="270">
        <v>0</v>
      </c>
      <c r="U185" s="270">
        <v>0</v>
      </c>
      <c r="V185" s="270">
        <v>0</v>
      </c>
      <c r="W185" s="270">
        <v>0</v>
      </c>
      <c r="X185" s="270">
        <v>0</v>
      </c>
      <c r="Y185" s="270">
        <v>0</v>
      </c>
      <c r="Z185" s="270">
        <v>0</v>
      </c>
      <c r="AA185" s="270">
        <v>0</v>
      </c>
      <c r="AB185" s="270">
        <v>0</v>
      </c>
      <c r="AC185" s="270">
        <v>0</v>
      </c>
      <c r="AD185" s="270">
        <v>0</v>
      </c>
      <c r="AE185" s="270">
        <v>10237258</v>
      </c>
      <c r="AF185" s="270">
        <v>0</v>
      </c>
      <c r="AG185" s="270">
        <v>0</v>
      </c>
      <c r="AH185" s="270">
        <v>0</v>
      </c>
      <c r="AI185" s="270">
        <v>0</v>
      </c>
      <c r="AJ185" s="270">
        <v>0</v>
      </c>
      <c r="AK185" s="1112">
        <v>0</v>
      </c>
      <c r="AL185" s="270">
        <v>0</v>
      </c>
      <c r="AM185" s="270">
        <v>0</v>
      </c>
      <c r="AN185" s="270">
        <v>0</v>
      </c>
      <c r="AO185" s="270">
        <v>0</v>
      </c>
      <c r="AP185" s="270">
        <v>0</v>
      </c>
      <c r="AQ185" s="270">
        <v>0</v>
      </c>
      <c r="AR185" s="270">
        <v>0</v>
      </c>
      <c r="AS185" s="270">
        <v>0</v>
      </c>
      <c r="AT185" s="270">
        <v>0</v>
      </c>
      <c r="AU185" s="270">
        <v>1</v>
      </c>
      <c r="AV185" s="270">
        <v>0</v>
      </c>
      <c r="AW185" s="270">
        <v>0</v>
      </c>
      <c r="AX185" s="270">
        <v>0</v>
      </c>
      <c r="AY185" s="1112">
        <v>5110071</v>
      </c>
      <c r="AZ185" s="270">
        <v>0</v>
      </c>
      <c r="BA185" s="270">
        <v>0</v>
      </c>
      <c r="BB185" s="270">
        <v>0</v>
      </c>
      <c r="BC185" s="270">
        <v>0</v>
      </c>
      <c r="BD185" s="270">
        <v>0</v>
      </c>
      <c r="BE185" s="270">
        <v>0</v>
      </c>
      <c r="BF185" s="270">
        <v>0</v>
      </c>
      <c r="BG185" s="270">
        <v>0</v>
      </c>
      <c r="BH185" s="270">
        <v>0</v>
      </c>
      <c r="BI185" s="270">
        <v>0</v>
      </c>
      <c r="BJ185" s="270">
        <v>0</v>
      </c>
      <c r="BK185" s="270">
        <v>0</v>
      </c>
      <c r="BL185" s="270">
        <v>0</v>
      </c>
      <c r="BM185" s="270">
        <v>0</v>
      </c>
      <c r="BN185" s="270">
        <v>0</v>
      </c>
      <c r="BO185" s="270">
        <v>0</v>
      </c>
      <c r="BP185" s="270">
        <v>0</v>
      </c>
      <c r="BQ185" s="270">
        <v>0</v>
      </c>
      <c r="BR185" s="270">
        <v>0</v>
      </c>
      <c r="BS185" s="270">
        <v>0</v>
      </c>
      <c r="BT185" s="298">
        <v>0</v>
      </c>
      <c r="BU185" s="298">
        <v>0</v>
      </c>
      <c r="BV185" s="298">
        <v>0</v>
      </c>
      <c r="BW185" s="298">
        <v>0</v>
      </c>
      <c r="BX185" s="298">
        <v>0</v>
      </c>
      <c r="BY185" s="298">
        <v>0</v>
      </c>
      <c r="BZ185" s="298">
        <v>0</v>
      </c>
      <c r="CA185" s="298">
        <v>0</v>
      </c>
      <c r="CB185" s="298">
        <v>12808615</v>
      </c>
      <c r="CC185" s="298">
        <v>0</v>
      </c>
      <c r="CD185" s="298">
        <v>0</v>
      </c>
      <c r="CE185" s="298">
        <v>0</v>
      </c>
      <c r="CF185" s="298">
        <v>0</v>
      </c>
      <c r="CG185" s="298">
        <v>0</v>
      </c>
      <c r="CH185" s="298">
        <v>75222550</v>
      </c>
      <c r="CI185" s="298">
        <v>0</v>
      </c>
      <c r="CJ185" s="298">
        <v>0</v>
      </c>
      <c r="CK185" s="298">
        <v>0</v>
      </c>
      <c r="CL185" s="298">
        <v>0</v>
      </c>
      <c r="CM185" s="298">
        <v>0</v>
      </c>
      <c r="CN185" s="298">
        <v>0</v>
      </c>
      <c r="CO185" s="298">
        <v>0</v>
      </c>
      <c r="CP185" s="298">
        <v>0</v>
      </c>
      <c r="CQ185" s="298">
        <v>0</v>
      </c>
    </row>
    <row r="186" spans="1:95" x14ac:dyDescent="0.3">
      <c r="A186" s="270"/>
      <c r="B186" s="270">
        <v>536</v>
      </c>
      <c r="C186" s="270" t="s">
        <v>199</v>
      </c>
      <c r="D186" s="270" t="s">
        <v>502</v>
      </c>
      <c r="E186" s="1112">
        <v>270829</v>
      </c>
      <c r="F186" s="270">
        <v>445820</v>
      </c>
      <c r="G186" s="1112">
        <v>87946</v>
      </c>
      <c r="H186" s="1112">
        <v>349373</v>
      </c>
      <c r="I186" s="1112">
        <v>223847</v>
      </c>
      <c r="J186" s="1112">
        <v>101410</v>
      </c>
      <c r="K186" s="1112">
        <v>6812</v>
      </c>
      <c r="L186" s="1112">
        <v>33165</v>
      </c>
      <c r="M186" s="1112">
        <v>31530</v>
      </c>
      <c r="N186" s="270">
        <v>24869</v>
      </c>
      <c r="O186" s="1112">
        <v>305112</v>
      </c>
      <c r="P186" s="270">
        <v>69506</v>
      </c>
      <c r="Q186" s="1112">
        <v>22531</v>
      </c>
      <c r="R186" s="1112">
        <v>0</v>
      </c>
      <c r="S186" s="270">
        <v>2388</v>
      </c>
      <c r="T186" s="1112">
        <v>123370</v>
      </c>
      <c r="U186" s="1112">
        <v>122281</v>
      </c>
      <c r="V186" s="1112">
        <v>43724</v>
      </c>
      <c r="W186" s="1112">
        <v>0</v>
      </c>
      <c r="X186" s="270">
        <v>480361</v>
      </c>
      <c r="Y186" s="1112">
        <v>0</v>
      </c>
      <c r="Z186" s="1112">
        <v>12716</v>
      </c>
      <c r="AA186" s="1112">
        <v>953813</v>
      </c>
      <c r="AB186" s="1112">
        <v>28767</v>
      </c>
      <c r="AC186" s="1112">
        <v>195287</v>
      </c>
      <c r="AD186" s="270">
        <v>110922</v>
      </c>
      <c r="AE186" s="270">
        <v>1448144</v>
      </c>
      <c r="AF186" s="1112">
        <v>831826</v>
      </c>
      <c r="AG186" s="1112">
        <v>47095</v>
      </c>
      <c r="AH186" s="1112">
        <v>265445</v>
      </c>
      <c r="AI186" s="270">
        <v>5894</v>
      </c>
      <c r="AJ186" s="1112">
        <v>401568</v>
      </c>
      <c r="AK186" s="1112">
        <v>4327</v>
      </c>
      <c r="AL186" s="270">
        <v>698840</v>
      </c>
      <c r="AM186" s="270">
        <v>0</v>
      </c>
      <c r="AN186" s="1112">
        <v>10213</v>
      </c>
      <c r="AO186" s="1112">
        <v>0</v>
      </c>
      <c r="AP186" s="1112">
        <v>174825</v>
      </c>
      <c r="AQ186" s="1112">
        <v>0</v>
      </c>
      <c r="AR186" s="1112">
        <v>103218</v>
      </c>
      <c r="AS186" s="270">
        <v>0</v>
      </c>
      <c r="AT186" s="270">
        <v>89963</v>
      </c>
      <c r="AU186" s="1112">
        <v>134008</v>
      </c>
      <c r="AV186" s="270">
        <v>153546</v>
      </c>
      <c r="AW186" s="1112">
        <v>192992</v>
      </c>
      <c r="AX186" s="1112">
        <v>89278</v>
      </c>
      <c r="AY186" s="1112">
        <v>1277892</v>
      </c>
      <c r="AZ186" s="1112">
        <v>991629</v>
      </c>
      <c r="BA186" s="1112">
        <v>52537</v>
      </c>
      <c r="BB186" s="1112">
        <v>0</v>
      </c>
      <c r="BC186" s="1112">
        <v>61986</v>
      </c>
      <c r="BD186" s="1112">
        <v>57487</v>
      </c>
      <c r="BE186" s="1112">
        <v>56023</v>
      </c>
      <c r="BF186" s="1112">
        <v>33884</v>
      </c>
      <c r="BG186" s="1112">
        <v>109818</v>
      </c>
      <c r="BH186" s="1112">
        <v>7983</v>
      </c>
      <c r="BI186" s="1112">
        <v>124646</v>
      </c>
      <c r="BJ186" s="1112">
        <v>53531</v>
      </c>
      <c r="BK186" s="1112">
        <v>0</v>
      </c>
      <c r="BL186" s="1112">
        <v>47450</v>
      </c>
      <c r="BM186" s="270">
        <v>132003</v>
      </c>
      <c r="BN186" s="1112">
        <v>0</v>
      </c>
      <c r="BO186" s="1112">
        <v>75002</v>
      </c>
      <c r="BP186" s="270">
        <v>126674</v>
      </c>
      <c r="BQ186" s="1112">
        <v>1945782</v>
      </c>
      <c r="BR186" s="1112">
        <v>0</v>
      </c>
      <c r="BS186" s="1112">
        <v>116034</v>
      </c>
      <c r="BT186" s="298">
        <v>539902</v>
      </c>
      <c r="BU186" s="298">
        <v>1108513</v>
      </c>
      <c r="BV186" s="298">
        <v>81106</v>
      </c>
      <c r="BW186" s="298">
        <v>92196</v>
      </c>
      <c r="BX186" s="298">
        <v>408823</v>
      </c>
      <c r="BY186" s="298">
        <v>25250</v>
      </c>
      <c r="BZ186" s="298">
        <v>0</v>
      </c>
      <c r="CA186" s="298">
        <v>367032</v>
      </c>
      <c r="CB186" s="298">
        <v>0</v>
      </c>
      <c r="CC186" s="298">
        <v>693945</v>
      </c>
      <c r="CD186" s="298">
        <v>342966</v>
      </c>
      <c r="CE186" s="298">
        <v>0</v>
      </c>
      <c r="CF186" s="298">
        <v>29536</v>
      </c>
      <c r="CG186" s="298">
        <v>99260</v>
      </c>
      <c r="CH186" s="298">
        <v>0</v>
      </c>
      <c r="CI186" s="298">
        <v>966928</v>
      </c>
      <c r="CJ186" s="298">
        <v>123325</v>
      </c>
      <c r="CK186" s="298">
        <v>319260</v>
      </c>
      <c r="CL186" s="298">
        <v>160327</v>
      </c>
      <c r="CM186" s="298">
        <v>121787</v>
      </c>
      <c r="CN186" s="298">
        <v>23910</v>
      </c>
      <c r="CO186" s="298">
        <v>291230</v>
      </c>
      <c r="CP186" s="298">
        <v>84034</v>
      </c>
      <c r="CQ186" s="298">
        <v>774670</v>
      </c>
    </row>
    <row r="187" spans="1:95" x14ac:dyDescent="0.3">
      <c r="A187" s="270">
        <v>537</v>
      </c>
      <c r="B187" s="270">
        <v>537</v>
      </c>
      <c r="C187" s="270" t="s">
        <v>1772</v>
      </c>
      <c r="D187" s="270" t="s">
        <v>503</v>
      </c>
      <c r="E187" s="270">
        <v>0</v>
      </c>
      <c r="F187" s="270">
        <v>2</v>
      </c>
      <c r="G187" s="270">
        <v>2</v>
      </c>
      <c r="H187" s="270">
        <v>2</v>
      </c>
      <c r="I187" s="270">
        <v>1</v>
      </c>
      <c r="J187" s="270">
        <v>2</v>
      </c>
      <c r="K187" s="270">
        <v>1</v>
      </c>
      <c r="L187" s="270">
        <v>2</v>
      </c>
      <c r="M187" s="270">
        <v>0</v>
      </c>
      <c r="N187" s="270">
        <v>2</v>
      </c>
      <c r="O187" s="270">
        <v>2</v>
      </c>
      <c r="P187" s="270">
        <v>2</v>
      </c>
      <c r="Q187" s="270">
        <v>1</v>
      </c>
      <c r="R187" s="270">
        <v>0</v>
      </c>
      <c r="S187" s="270">
        <v>2</v>
      </c>
      <c r="T187" s="270">
        <v>2</v>
      </c>
      <c r="U187" s="270">
        <v>2</v>
      </c>
      <c r="V187" s="270">
        <v>2</v>
      </c>
      <c r="W187" s="270">
        <v>2</v>
      </c>
      <c r="X187" s="270">
        <v>0</v>
      </c>
      <c r="Y187" s="270">
        <v>2</v>
      </c>
      <c r="Z187" s="270">
        <v>2</v>
      </c>
      <c r="AA187" s="270">
        <v>2</v>
      </c>
      <c r="AB187" s="270">
        <v>2</v>
      </c>
      <c r="AC187" s="270">
        <v>2</v>
      </c>
      <c r="AD187" s="270">
        <v>2</v>
      </c>
      <c r="AE187" s="270">
        <v>1</v>
      </c>
      <c r="AF187" s="270">
        <v>2</v>
      </c>
      <c r="AG187" s="270">
        <v>2</v>
      </c>
      <c r="AH187" s="270">
        <v>0</v>
      </c>
      <c r="AI187" s="270">
        <v>2</v>
      </c>
      <c r="AJ187" s="270">
        <v>1</v>
      </c>
      <c r="AK187" s="270">
        <v>2</v>
      </c>
      <c r="AL187" s="270">
        <v>2</v>
      </c>
      <c r="AM187" s="270">
        <v>0</v>
      </c>
      <c r="AN187" s="270">
        <v>1</v>
      </c>
      <c r="AO187" s="270">
        <v>0</v>
      </c>
      <c r="AP187" s="270">
        <v>1</v>
      </c>
      <c r="AQ187" s="270">
        <v>1</v>
      </c>
      <c r="AR187" s="270">
        <v>0</v>
      </c>
      <c r="AS187" s="270">
        <v>2</v>
      </c>
      <c r="AT187" s="270">
        <v>2</v>
      </c>
      <c r="AU187" s="270">
        <v>0</v>
      </c>
      <c r="AV187" s="270">
        <v>1</v>
      </c>
      <c r="AW187" s="270">
        <v>2</v>
      </c>
      <c r="AX187" s="270">
        <v>2</v>
      </c>
      <c r="AY187" s="270">
        <v>2</v>
      </c>
      <c r="AZ187" s="270">
        <v>2</v>
      </c>
      <c r="BA187" s="270">
        <v>2</v>
      </c>
      <c r="BB187" s="270">
        <v>2</v>
      </c>
      <c r="BC187" s="270">
        <v>1</v>
      </c>
      <c r="BD187" s="270">
        <v>1</v>
      </c>
      <c r="BE187" s="270">
        <v>2</v>
      </c>
      <c r="BF187" s="270">
        <v>1</v>
      </c>
      <c r="BG187" s="270">
        <v>2</v>
      </c>
      <c r="BH187" s="270">
        <v>1</v>
      </c>
      <c r="BI187" s="270">
        <v>0</v>
      </c>
      <c r="BJ187" s="270">
        <v>2</v>
      </c>
      <c r="BK187" s="270">
        <v>2</v>
      </c>
      <c r="BL187" s="270">
        <v>1</v>
      </c>
      <c r="BM187" s="270">
        <v>1</v>
      </c>
      <c r="BN187" s="270">
        <v>0</v>
      </c>
      <c r="BO187" s="270">
        <v>2</v>
      </c>
      <c r="BP187" s="270">
        <v>2</v>
      </c>
      <c r="BQ187" s="270">
        <v>2</v>
      </c>
      <c r="BR187" s="270">
        <v>0</v>
      </c>
      <c r="BS187" s="270">
        <v>0</v>
      </c>
      <c r="BT187" s="298">
        <v>2</v>
      </c>
      <c r="BU187" s="298">
        <v>2</v>
      </c>
      <c r="BV187" s="298">
        <v>2</v>
      </c>
      <c r="BW187" s="298">
        <v>1</v>
      </c>
      <c r="BX187" s="298">
        <v>2</v>
      </c>
      <c r="BY187" s="298">
        <v>2</v>
      </c>
      <c r="BZ187" s="298">
        <v>0</v>
      </c>
      <c r="CA187" s="298">
        <v>2</v>
      </c>
      <c r="CB187" s="298">
        <v>0</v>
      </c>
      <c r="CC187" s="298">
        <v>1</v>
      </c>
      <c r="CD187" s="298">
        <v>2</v>
      </c>
      <c r="CE187" s="298">
        <v>2</v>
      </c>
      <c r="CF187" s="298">
        <v>2</v>
      </c>
      <c r="CG187" s="298">
        <v>1</v>
      </c>
      <c r="CH187" s="298">
        <v>1</v>
      </c>
      <c r="CI187" s="298">
        <v>1</v>
      </c>
      <c r="CJ187" s="298">
        <v>2</v>
      </c>
      <c r="CK187" s="298">
        <v>2</v>
      </c>
      <c r="CL187" s="298">
        <v>1</v>
      </c>
      <c r="CM187" s="298">
        <v>1</v>
      </c>
      <c r="CN187" s="298">
        <v>2</v>
      </c>
      <c r="CO187" s="298">
        <v>2</v>
      </c>
      <c r="CP187" s="298">
        <v>2</v>
      </c>
      <c r="CQ187" s="298">
        <v>0</v>
      </c>
    </row>
    <row r="188" spans="1:95" x14ac:dyDescent="0.3">
      <c r="A188" s="270">
        <v>538</v>
      </c>
      <c r="B188" s="270">
        <v>538</v>
      </c>
      <c r="C188" s="270" t="s">
        <v>1773</v>
      </c>
      <c r="D188" s="270" t="s">
        <v>504</v>
      </c>
      <c r="E188" s="270">
        <v>0</v>
      </c>
      <c r="F188" s="270">
        <v>2</v>
      </c>
      <c r="G188" s="270">
        <v>1</v>
      </c>
      <c r="H188" s="270">
        <v>2</v>
      </c>
      <c r="I188" s="270">
        <v>1</v>
      </c>
      <c r="J188" s="270">
        <v>1</v>
      </c>
      <c r="K188" s="270">
        <v>1</v>
      </c>
      <c r="L188" s="270">
        <v>2</v>
      </c>
      <c r="M188" s="270">
        <v>2</v>
      </c>
      <c r="N188" s="270">
        <v>2</v>
      </c>
      <c r="O188" s="270">
        <v>2</v>
      </c>
      <c r="P188" s="270">
        <v>2</v>
      </c>
      <c r="Q188" s="270">
        <v>2</v>
      </c>
      <c r="R188" s="270">
        <v>0</v>
      </c>
      <c r="S188" s="270">
        <v>2</v>
      </c>
      <c r="T188" s="270">
        <v>2</v>
      </c>
      <c r="U188" s="270">
        <v>2</v>
      </c>
      <c r="V188" s="270">
        <v>2</v>
      </c>
      <c r="W188" s="270">
        <v>2</v>
      </c>
      <c r="X188" s="270">
        <v>0</v>
      </c>
      <c r="Y188" s="270">
        <v>2</v>
      </c>
      <c r="Z188" s="270">
        <v>2</v>
      </c>
      <c r="AA188" s="270">
        <v>2</v>
      </c>
      <c r="AB188" s="270">
        <v>2</v>
      </c>
      <c r="AC188" s="270">
        <v>2</v>
      </c>
      <c r="AD188" s="270">
        <v>2</v>
      </c>
      <c r="AE188" s="270">
        <v>1</v>
      </c>
      <c r="AF188" s="270">
        <v>2</v>
      </c>
      <c r="AG188" s="270">
        <v>2</v>
      </c>
      <c r="AH188" s="270">
        <v>0</v>
      </c>
      <c r="AI188" s="270">
        <v>2</v>
      </c>
      <c r="AJ188" s="270">
        <v>1</v>
      </c>
      <c r="AK188" s="270">
        <v>2</v>
      </c>
      <c r="AL188" s="270">
        <v>1</v>
      </c>
      <c r="AM188" s="270">
        <v>0</v>
      </c>
      <c r="AN188" s="270">
        <v>2</v>
      </c>
      <c r="AO188" s="270">
        <v>0</v>
      </c>
      <c r="AP188" s="270">
        <v>1</v>
      </c>
      <c r="AQ188" s="270">
        <v>1</v>
      </c>
      <c r="AR188" s="270">
        <v>0</v>
      </c>
      <c r="AS188" s="270">
        <v>2</v>
      </c>
      <c r="AT188" s="270">
        <v>2</v>
      </c>
      <c r="AU188" s="270">
        <v>0</v>
      </c>
      <c r="AV188" s="270">
        <v>2</v>
      </c>
      <c r="AW188" s="270">
        <v>2</v>
      </c>
      <c r="AX188" s="270">
        <v>2</v>
      </c>
      <c r="AY188" s="270">
        <v>2</v>
      </c>
      <c r="AZ188" s="270">
        <v>2</v>
      </c>
      <c r="BA188" s="270">
        <v>2</v>
      </c>
      <c r="BB188" s="270">
        <v>0</v>
      </c>
      <c r="BC188" s="270">
        <v>1</v>
      </c>
      <c r="BD188" s="270">
        <v>1</v>
      </c>
      <c r="BE188" s="270">
        <v>2</v>
      </c>
      <c r="BF188" s="270">
        <v>2</v>
      </c>
      <c r="BG188" s="270">
        <v>2</v>
      </c>
      <c r="BH188" s="270">
        <v>1</v>
      </c>
      <c r="BI188" s="270">
        <v>0</v>
      </c>
      <c r="BJ188" s="270">
        <v>2</v>
      </c>
      <c r="BK188" s="270">
        <v>2</v>
      </c>
      <c r="BL188" s="270">
        <v>1</v>
      </c>
      <c r="BM188" s="270">
        <v>1</v>
      </c>
      <c r="BN188" s="270">
        <v>0</v>
      </c>
      <c r="BO188" s="270">
        <v>0</v>
      </c>
      <c r="BP188" s="270">
        <v>2</v>
      </c>
      <c r="BQ188" s="270">
        <v>2</v>
      </c>
      <c r="BR188" s="270">
        <v>0</v>
      </c>
      <c r="BS188" s="270">
        <v>0</v>
      </c>
      <c r="BT188" s="298">
        <v>2</v>
      </c>
      <c r="BU188" s="298">
        <v>2</v>
      </c>
      <c r="BV188" s="298">
        <v>2</v>
      </c>
      <c r="BW188" s="298">
        <v>1</v>
      </c>
      <c r="BX188" s="298">
        <v>2</v>
      </c>
      <c r="BY188" s="298">
        <v>2</v>
      </c>
      <c r="BZ188" s="298">
        <v>0</v>
      </c>
      <c r="CA188" s="298">
        <v>2</v>
      </c>
      <c r="CB188" s="298">
        <v>0</v>
      </c>
      <c r="CC188" s="298">
        <v>1</v>
      </c>
      <c r="CD188" s="298">
        <v>2</v>
      </c>
      <c r="CE188" s="298">
        <v>1</v>
      </c>
      <c r="CF188" s="298">
        <v>2</v>
      </c>
      <c r="CG188" s="298">
        <v>1</v>
      </c>
      <c r="CH188" s="298">
        <v>1</v>
      </c>
      <c r="CI188" s="298">
        <v>2</v>
      </c>
      <c r="CJ188" s="298">
        <v>1</v>
      </c>
      <c r="CK188" s="298">
        <v>2</v>
      </c>
      <c r="CL188" s="298">
        <v>1</v>
      </c>
      <c r="CM188" s="298">
        <v>2</v>
      </c>
      <c r="CN188" s="298">
        <v>2</v>
      </c>
      <c r="CO188" s="298">
        <v>2</v>
      </c>
      <c r="CP188" s="298">
        <v>2</v>
      </c>
      <c r="CQ188" s="298">
        <v>0</v>
      </c>
    </row>
    <row r="189" spans="1:95" x14ac:dyDescent="0.3">
      <c r="A189" s="270"/>
      <c r="B189" s="270">
        <v>539</v>
      </c>
      <c r="C189" s="270" t="s">
        <v>1774</v>
      </c>
      <c r="D189" s="270" t="s">
        <v>505</v>
      </c>
      <c r="E189" s="270"/>
      <c r="F189" s="270"/>
      <c r="G189" s="270"/>
      <c r="H189" s="270"/>
      <c r="I189" s="270"/>
      <c r="J189" s="270"/>
      <c r="K189" s="270"/>
      <c r="L189" s="270"/>
      <c r="M189" s="270"/>
      <c r="N189" s="270"/>
      <c r="O189" s="270"/>
      <c r="P189" s="270"/>
      <c r="Q189" s="270"/>
      <c r="R189" s="270"/>
      <c r="S189" s="270"/>
      <c r="T189" s="270"/>
      <c r="U189" s="270"/>
      <c r="V189" s="270"/>
      <c r="W189" s="270"/>
      <c r="X189" s="270"/>
      <c r="Y189" s="270"/>
      <c r="Z189" s="270"/>
      <c r="AA189" s="270"/>
      <c r="AB189" s="270"/>
      <c r="AC189" s="270"/>
      <c r="AD189" s="270"/>
      <c r="AE189" s="270"/>
      <c r="AF189" s="270"/>
      <c r="AG189" s="270"/>
      <c r="AH189" s="270"/>
      <c r="AI189" s="270"/>
      <c r="AJ189" s="270"/>
      <c r="AK189" s="270"/>
      <c r="AL189" s="270"/>
      <c r="AM189" s="270"/>
      <c r="AN189" s="270"/>
      <c r="AO189" s="270"/>
      <c r="AP189" s="270"/>
      <c r="AQ189" s="270"/>
      <c r="AR189" s="270"/>
      <c r="AS189" s="270"/>
      <c r="AT189" s="270"/>
      <c r="AU189" s="270"/>
      <c r="AV189" s="270"/>
      <c r="AW189" s="270"/>
      <c r="AX189" s="270"/>
      <c r="AY189" s="270"/>
      <c r="AZ189" s="270"/>
      <c r="BA189" s="270"/>
      <c r="BB189" s="270"/>
      <c r="BC189" s="270"/>
      <c r="BD189" s="270"/>
      <c r="BE189" s="270"/>
      <c r="BF189" s="270"/>
      <c r="BG189" s="270"/>
      <c r="BH189" s="270"/>
      <c r="BI189" s="270"/>
      <c r="BJ189" s="270"/>
      <c r="BK189" s="270"/>
      <c r="BL189" s="270"/>
      <c r="BM189" s="270"/>
      <c r="BN189" s="270"/>
      <c r="BO189" s="270"/>
      <c r="BP189" s="270"/>
      <c r="BQ189" s="270"/>
      <c r="BR189" s="270"/>
      <c r="BS189" s="270"/>
    </row>
    <row r="190" spans="1:95" x14ac:dyDescent="0.3">
      <c r="A190" s="270">
        <v>540</v>
      </c>
      <c r="B190" s="270">
        <v>540</v>
      </c>
      <c r="C190" s="270" t="s">
        <v>1775</v>
      </c>
      <c r="D190" s="270" t="s">
        <v>506</v>
      </c>
      <c r="E190" s="1112">
        <v>137100</v>
      </c>
      <c r="F190" s="270">
        <v>2016800</v>
      </c>
      <c r="G190" s="1112">
        <v>0</v>
      </c>
      <c r="H190" s="1112">
        <v>0</v>
      </c>
      <c r="I190" s="270">
        <v>0</v>
      </c>
      <c r="J190" s="270">
        <v>121945</v>
      </c>
      <c r="K190" s="1112">
        <v>0</v>
      </c>
      <c r="L190" s="1112">
        <v>203747</v>
      </c>
      <c r="M190" s="1112">
        <v>0</v>
      </c>
      <c r="N190" s="270">
        <v>0</v>
      </c>
      <c r="O190" s="1112">
        <v>0</v>
      </c>
      <c r="P190" s="270">
        <v>0</v>
      </c>
      <c r="Q190" s="1112">
        <v>0</v>
      </c>
      <c r="R190" s="270">
        <v>0</v>
      </c>
      <c r="S190" s="270">
        <v>413066</v>
      </c>
      <c r="T190" s="270">
        <v>0</v>
      </c>
      <c r="U190" s="270">
        <v>0</v>
      </c>
      <c r="V190" s="270">
        <v>1015129</v>
      </c>
      <c r="W190" s="270">
        <v>227850</v>
      </c>
      <c r="X190" s="270">
        <v>50000</v>
      </c>
      <c r="Y190" s="1112">
        <v>240000</v>
      </c>
      <c r="Z190" s="1112">
        <v>0</v>
      </c>
      <c r="AA190" s="1112">
        <v>715389</v>
      </c>
      <c r="AB190" s="270">
        <v>0</v>
      </c>
      <c r="AC190" s="1112">
        <v>80000</v>
      </c>
      <c r="AD190" s="270">
        <v>0</v>
      </c>
      <c r="AE190" s="270">
        <v>439543</v>
      </c>
      <c r="AF190" s="270">
        <v>126246</v>
      </c>
      <c r="AG190" s="1112">
        <v>0</v>
      </c>
      <c r="AH190" s="1112">
        <v>97110</v>
      </c>
      <c r="AI190" s="1112">
        <v>0</v>
      </c>
      <c r="AJ190" s="270">
        <v>0</v>
      </c>
      <c r="AK190" s="270">
        <v>0</v>
      </c>
      <c r="AL190" s="270">
        <v>50000</v>
      </c>
      <c r="AM190" s="270">
        <v>0</v>
      </c>
      <c r="AN190" s="270">
        <v>56912</v>
      </c>
      <c r="AO190" s="270">
        <v>0</v>
      </c>
      <c r="AP190" s="270">
        <v>0</v>
      </c>
      <c r="AQ190" s="1112">
        <v>40000</v>
      </c>
      <c r="AR190" s="270">
        <v>0</v>
      </c>
      <c r="AS190" s="270">
        <v>0</v>
      </c>
      <c r="AT190" s="270">
        <v>59078</v>
      </c>
      <c r="AU190" s="1112">
        <v>0</v>
      </c>
      <c r="AV190" s="270">
        <v>0</v>
      </c>
      <c r="AW190" s="1112">
        <v>442788</v>
      </c>
      <c r="AX190" s="1112">
        <v>52079</v>
      </c>
      <c r="AY190" s="1112">
        <v>2182500</v>
      </c>
      <c r="AZ190" s="270">
        <v>0</v>
      </c>
      <c r="BA190" s="270">
        <v>0</v>
      </c>
      <c r="BB190" s="270">
        <v>0</v>
      </c>
      <c r="BC190" s="270">
        <v>0</v>
      </c>
      <c r="BD190" s="270">
        <v>72744</v>
      </c>
      <c r="BE190" s="270">
        <v>0</v>
      </c>
      <c r="BF190" s="1112">
        <v>0</v>
      </c>
      <c r="BG190" s="1112">
        <v>0</v>
      </c>
      <c r="BH190" s="270">
        <v>0</v>
      </c>
      <c r="BI190" s="1112">
        <v>0</v>
      </c>
      <c r="BJ190" s="270">
        <v>0</v>
      </c>
      <c r="BK190" s="270">
        <v>1200000</v>
      </c>
      <c r="BL190" s="270">
        <v>522990</v>
      </c>
      <c r="BM190" s="270">
        <v>194933</v>
      </c>
      <c r="BN190" s="1112">
        <v>18500</v>
      </c>
      <c r="BO190" s="270">
        <v>0</v>
      </c>
      <c r="BP190" s="270">
        <v>0</v>
      </c>
      <c r="BQ190" s="1112">
        <v>696500</v>
      </c>
      <c r="BR190" s="270">
        <v>0</v>
      </c>
      <c r="BS190" s="1112">
        <v>97195</v>
      </c>
      <c r="BT190" s="298">
        <v>12500</v>
      </c>
      <c r="BU190" s="298">
        <v>0</v>
      </c>
      <c r="BV190" s="298">
        <v>67926</v>
      </c>
      <c r="BW190" s="298">
        <v>0</v>
      </c>
      <c r="BX190" s="298">
        <v>311000</v>
      </c>
      <c r="BY190" s="298">
        <v>0</v>
      </c>
      <c r="BZ190" s="298">
        <v>0</v>
      </c>
      <c r="CA190" s="298">
        <v>0</v>
      </c>
      <c r="CB190" s="298">
        <v>3020000</v>
      </c>
      <c r="CC190" s="298">
        <v>6115660</v>
      </c>
      <c r="CD190" s="298">
        <v>105339</v>
      </c>
      <c r="CE190" s="298">
        <v>0</v>
      </c>
      <c r="CF190" s="298">
        <v>0</v>
      </c>
      <c r="CG190" s="298">
        <v>0</v>
      </c>
      <c r="CH190" s="298">
        <v>2000000</v>
      </c>
      <c r="CI190" s="298">
        <v>418406</v>
      </c>
      <c r="CJ190" s="298">
        <v>0</v>
      </c>
      <c r="CK190" s="298">
        <v>0</v>
      </c>
      <c r="CL190" s="298">
        <v>0</v>
      </c>
      <c r="CM190" s="298">
        <v>181735</v>
      </c>
      <c r="CN190" s="298">
        <v>0</v>
      </c>
      <c r="CO190" s="298">
        <v>0</v>
      </c>
      <c r="CP190" s="298">
        <v>0</v>
      </c>
      <c r="CQ190" s="298">
        <v>1336331</v>
      </c>
    </row>
    <row r="191" spans="1:95" x14ac:dyDescent="0.3">
      <c r="A191" s="270">
        <v>541</v>
      </c>
      <c r="B191" s="270">
        <v>541</v>
      </c>
      <c r="C191" s="270" t="s">
        <v>1776</v>
      </c>
      <c r="D191" s="270" t="s">
        <v>507</v>
      </c>
      <c r="E191" s="1112">
        <v>0</v>
      </c>
      <c r="F191" s="1112">
        <v>0</v>
      </c>
      <c r="G191" s="1112">
        <v>104294</v>
      </c>
      <c r="H191" s="1112">
        <v>-467233</v>
      </c>
      <c r="I191" s="270">
        <v>196520</v>
      </c>
      <c r="J191" s="1112">
        <v>3951</v>
      </c>
      <c r="K191" s="1112">
        <v>1497544</v>
      </c>
      <c r="L191" s="1112">
        <v>35826</v>
      </c>
      <c r="M191" s="1112">
        <v>0</v>
      </c>
      <c r="N191" s="270">
        <v>18093</v>
      </c>
      <c r="O191" s="1112">
        <v>-93832</v>
      </c>
      <c r="P191" s="270">
        <v>0</v>
      </c>
      <c r="Q191" s="1112">
        <v>-24907</v>
      </c>
      <c r="R191" s="1112">
        <v>0</v>
      </c>
      <c r="S191" s="270">
        <v>0</v>
      </c>
      <c r="T191" s="1112">
        <v>0</v>
      </c>
      <c r="U191" s="1112">
        <v>213511</v>
      </c>
      <c r="V191" s="1112">
        <v>0</v>
      </c>
      <c r="W191" s="1112">
        <v>225149</v>
      </c>
      <c r="X191" s="1112">
        <v>0</v>
      </c>
      <c r="Y191" s="1112">
        <v>53901</v>
      </c>
      <c r="Z191" s="270">
        <v>0</v>
      </c>
      <c r="AA191" s="1112">
        <v>225822</v>
      </c>
      <c r="AB191" s="1112">
        <v>280661</v>
      </c>
      <c r="AC191" s="1112">
        <v>-183642</v>
      </c>
      <c r="AD191" s="1112">
        <v>15336</v>
      </c>
      <c r="AE191" s="1112">
        <v>1852864</v>
      </c>
      <c r="AF191" s="270">
        <v>0</v>
      </c>
      <c r="AG191" s="270">
        <v>47661</v>
      </c>
      <c r="AH191" s="1112">
        <v>0</v>
      </c>
      <c r="AI191" s="1112">
        <v>71475</v>
      </c>
      <c r="AJ191" s="1112">
        <v>-1220497</v>
      </c>
      <c r="AK191" s="1112">
        <v>352040</v>
      </c>
      <c r="AL191" s="270">
        <v>29702</v>
      </c>
      <c r="AM191" s="270">
        <v>0</v>
      </c>
      <c r="AN191" s="1112">
        <v>10195</v>
      </c>
      <c r="AO191" s="1112">
        <v>0</v>
      </c>
      <c r="AP191" s="1112">
        <v>730692</v>
      </c>
      <c r="AQ191" s="270">
        <v>-85084</v>
      </c>
      <c r="AR191" s="1112">
        <v>0</v>
      </c>
      <c r="AS191" s="1112">
        <v>0</v>
      </c>
      <c r="AT191" s="1112">
        <v>0</v>
      </c>
      <c r="AU191" s="1112">
        <v>0</v>
      </c>
      <c r="AV191" s="270">
        <v>-39179</v>
      </c>
      <c r="AW191" s="1112">
        <v>129225</v>
      </c>
      <c r="AX191" s="1112">
        <v>15543</v>
      </c>
      <c r="AY191" s="1112">
        <v>0</v>
      </c>
      <c r="AZ191" s="1112">
        <v>-504000</v>
      </c>
      <c r="BA191" s="270">
        <v>162851</v>
      </c>
      <c r="BB191" s="270">
        <v>0</v>
      </c>
      <c r="BC191" s="1112">
        <v>132199</v>
      </c>
      <c r="BD191" s="270">
        <v>88759</v>
      </c>
      <c r="BE191" s="1112">
        <v>19728</v>
      </c>
      <c r="BF191" s="1112">
        <v>-45408</v>
      </c>
      <c r="BG191" s="1112">
        <v>198329</v>
      </c>
      <c r="BH191" s="1112">
        <v>888914</v>
      </c>
      <c r="BI191" s="1112">
        <v>0</v>
      </c>
      <c r="BJ191" s="1112">
        <v>0</v>
      </c>
      <c r="BK191" s="1112">
        <v>0</v>
      </c>
      <c r="BL191" s="270">
        <v>405964</v>
      </c>
      <c r="BM191" s="1112">
        <v>252812</v>
      </c>
      <c r="BN191" s="1112">
        <v>0</v>
      </c>
      <c r="BO191" s="1112">
        <v>0</v>
      </c>
      <c r="BP191" s="1112">
        <v>277216</v>
      </c>
      <c r="BQ191" s="1112">
        <v>0</v>
      </c>
      <c r="BR191" s="1112">
        <v>0</v>
      </c>
      <c r="BS191" s="270">
        <v>0</v>
      </c>
      <c r="BT191" s="298">
        <v>21830</v>
      </c>
      <c r="BU191" s="298">
        <v>0</v>
      </c>
      <c r="BV191" s="298">
        <v>-67926</v>
      </c>
      <c r="BW191" s="298">
        <v>338583</v>
      </c>
      <c r="BX191" s="298">
        <v>423101</v>
      </c>
      <c r="BY191" s="298">
        <v>6704</v>
      </c>
      <c r="BZ191" s="298">
        <v>0</v>
      </c>
      <c r="CA191" s="298">
        <v>271566</v>
      </c>
      <c r="CB191" s="298">
        <v>0</v>
      </c>
      <c r="CC191" s="298">
        <v>3736058</v>
      </c>
      <c r="CD191" s="298">
        <v>-2944531</v>
      </c>
      <c r="CE191" s="298">
        <v>27132</v>
      </c>
      <c r="CF191" s="298">
        <v>6539</v>
      </c>
      <c r="CG191" s="298">
        <v>109324</v>
      </c>
      <c r="CH191" s="298">
        <v>28247070</v>
      </c>
      <c r="CI191" s="298">
        <v>-47769</v>
      </c>
      <c r="CJ191" s="298">
        <v>141585</v>
      </c>
      <c r="CK191" s="298">
        <v>0</v>
      </c>
      <c r="CL191" s="298">
        <v>78773</v>
      </c>
      <c r="CM191" s="298">
        <v>804505</v>
      </c>
      <c r="CN191" s="298">
        <v>482973</v>
      </c>
      <c r="CO191" s="298">
        <v>212124</v>
      </c>
      <c r="CP191" s="298">
        <v>0</v>
      </c>
      <c r="CQ191" s="298">
        <v>0</v>
      </c>
    </row>
    <row r="192" spans="1:95" x14ac:dyDescent="0.3">
      <c r="A192" s="270">
        <v>542</v>
      </c>
      <c r="B192" s="270">
        <v>542</v>
      </c>
      <c r="C192" s="270" t="s">
        <v>1777</v>
      </c>
      <c r="D192" s="270" t="s">
        <v>508</v>
      </c>
      <c r="E192" s="270">
        <v>0</v>
      </c>
      <c r="F192" s="270">
        <v>0</v>
      </c>
      <c r="G192" s="270">
        <v>0</v>
      </c>
      <c r="H192" s="1112">
        <v>0</v>
      </c>
      <c r="I192" s="270">
        <v>0</v>
      </c>
      <c r="J192" s="270">
        <v>31451</v>
      </c>
      <c r="K192" s="1112">
        <v>0</v>
      </c>
      <c r="L192" s="270">
        <v>90652</v>
      </c>
      <c r="M192" s="270">
        <v>0</v>
      </c>
      <c r="N192" s="270">
        <v>0</v>
      </c>
      <c r="O192" s="1112">
        <v>0</v>
      </c>
      <c r="P192" s="270">
        <v>0</v>
      </c>
      <c r="Q192" s="1112">
        <v>19241</v>
      </c>
      <c r="R192" s="270">
        <v>0</v>
      </c>
      <c r="S192" s="270">
        <v>0</v>
      </c>
      <c r="T192" s="270">
        <v>0</v>
      </c>
      <c r="U192" s="270">
        <v>0</v>
      </c>
      <c r="V192" s="270">
        <v>0</v>
      </c>
      <c r="W192" s="270">
        <v>0</v>
      </c>
      <c r="X192" s="270">
        <v>0</v>
      </c>
      <c r="Y192" s="270">
        <v>0</v>
      </c>
      <c r="Z192" s="270">
        <v>0</v>
      </c>
      <c r="AA192" s="270">
        <v>0</v>
      </c>
      <c r="AB192" s="270">
        <v>0</v>
      </c>
      <c r="AC192" s="1112">
        <v>0</v>
      </c>
      <c r="AD192" s="270">
        <v>0</v>
      </c>
      <c r="AE192" s="270">
        <v>1376133</v>
      </c>
      <c r="AF192" s="270">
        <v>0</v>
      </c>
      <c r="AG192" s="270">
        <v>0</v>
      </c>
      <c r="AH192" s="1112">
        <v>0</v>
      </c>
      <c r="AI192" s="270">
        <v>0</v>
      </c>
      <c r="AJ192" s="270">
        <v>0</v>
      </c>
      <c r="AK192" s="270">
        <v>0</v>
      </c>
      <c r="AL192" s="270">
        <v>0</v>
      </c>
      <c r="AM192" s="270">
        <v>0</v>
      </c>
      <c r="AN192" s="270">
        <v>0</v>
      </c>
      <c r="AO192" s="270">
        <v>0</v>
      </c>
      <c r="AP192" s="270">
        <v>0</v>
      </c>
      <c r="AQ192" s="270">
        <v>30754</v>
      </c>
      <c r="AR192" s="270">
        <v>0</v>
      </c>
      <c r="AS192" s="270">
        <v>0</v>
      </c>
      <c r="AT192" s="270">
        <v>0</v>
      </c>
      <c r="AU192" s="270">
        <v>0</v>
      </c>
      <c r="AV192" s="270">
        <v>0</v>
      </c>
      <c r="AW192" s="270">
        <v>0</v>
      </c>
      <c r="AX192" s="270">
        <v>19575</v>
      </c>
      <c r="AY192" s="1112">
        <v>0</v>
      </c>
      <c r="AZ192" s="270">
        <v>0</v>
      </c>
      <c r="BA192" s="270">
        <v>0</v>
      </c>
      <c r="BB192" s="270">
        <v>0</v>
      </c>
      <c r="BC192" s="270">
        <v>0</v>
      </c>
      <c r="BD192" s="270">
        <v>0</v>
      </c>
      <c r="BE192" s="270">
        <v>0</v>
      </c>
      <c r="BF192" s="1112">
        <v>0</v>
      </c>
      <c r="BG192" s="1112">
        <v>0</v>
      </c>
      <c r="BH192" s="270">
        <v>350893</v>
      </c>
      <c r="BI192" s="270">
        <v>0</v>
      </c>
      <c r="BJ192" s="270">
        <v>0</v>
      </c>
      <c r="BK192" s="270">
        <v>0</v>
      </c>
      <c r="BL192" s="270">
        <v>1173730</v>
      </c>
      <c r="BM192" s="270">
        <v>0</v>
      </c>
      <c r="BN192" s="270">
        <v>0</v>
      </c>
      <c r="BO192" s="270">
        <v>0</v>
      </c>
      <c r="BP192" s="270">
        <v>0</v>
      </c>
      <c r="BQ192" s="270">
        <v>0</v>
      </c>
      <c r="BR192" s="270">
        <v>0</v>
      </c>
      <c r="BS192" s="270">
        <v>0</v>
      </c>
      <c r="BT192" s="298">
        <v>0</v>
      </c>
      <c r="BU192" s="298">
        <v>0</v>
      </c>
      <c r="BV192" s="298">
        <v>0</v>
      </c>
      <c r="BW192" s="298">
        <v>0</v>
      </c>
      <c r="BX192" s="298">
        <v>0</v>
      </c>
      <c r="BY192" s="298">
        <v>0</v>
      </c>
      <c r="BZ192" s="298">
        <v>0</v>
      </c>
      <c r="CA192" s="298">
        <v>0</v>
      </c>
      <c r="CB192" s="298">
        <v>0</v>
      </c>
      <c r="CC192" s="298">
        <v>3476970</v>
      </c>
      <c r="CD192" s="298">
        <v>0</v>
      </c>
      <c r="CE192" s="298">
        <v>92300</v>
      </c>
      <c r="CF192" s="298">
        <v>0</v>
      </c>
      <c r="CG192" s="298">
        <v>60000</v>
      </c>
      <c r="CH192" s="298">
        <v>0</v>
      </c>
      <c r="CI192" s="298">
        <v>271038</v>
      </c>
      <c r="CJ192" s="298">
        <v>0</v>
      </c>
      <c r="CK192" s="298">
        <v>0</v>
      </c>
      <c r="CL192" s="298">
        <v>0</v>
      </c>
      <c r="CM192" s="298">
        <v>0</v>
      </c>
      <c r="CN192" s="298">
        <v>0</v>
      </c>
      <c r="CO192" s="298">
        <v>65000</v>
      </c>
      <c r="CP192" s="298">
        <v>0</v>
      </c>
      <c r="CQ192" s="298">
        <v>0</v>
      </c>
    </row>
    <row r="193" spans="1:95" x14ac:dyDescent="0.3">
      <c r="A193" s="270"/>
      <c r="B193" s="270">
        <v>543</v>
      </c>
      <c r="C193" s="270" t="s">
        <v>1778</v>
      </c>
      <c r="D193" s="270" t="s">
        <v>509</v>
      </c>
      <c r="E193" s="270">
        <v>0</v>
      </c>
      <c r="F193" s="270">
        <v>0</v>
      </c>
      <c r="G193" s="270">
        <v>0</v>
      </c>
      <c r="H193" s="270">
        <v>0</v>
      </c>
      <c r="I193" s="270">
        <v>0</v>
      </c>
      <c r="J193" s="270">
        <v>0</v>
      </c>
      <c r="K193" s="270">
        <v>0</v>
      </c>
      <c r="L193" s="270">
        <v>0</v>
      </c>
      <c r="M193" s="270">
        <v>0</v>
      </c>
      <c r="N193" s="270">
        <v>0</v>
      </c>
      <c r="O193" s="270">
        <v>0</v>
      </c>
      <c r="P193" s="270">
        <v>0</v>
      </c>
      <c r="Q193" s="270">
        <v>0</v>
      </c>
      <c r="R193" s="270">
        <v>0</v>
      </c>
      <c r="S193" s="270">
        <v>0</v>
      </c>
      <c r="T193" s="270">
        <v>0</v>
      </c>
      <c r="U193" s="270">
        <v>0</v>
      </c>
      <c r="V193" s="270">
        <v>0</v>
      </c>
      <c r="W193" s="270">
        <v>0</v>
      </c>
      <c r="X193" s="270">
        <v>0</v>
      </c>
      <c r="Y193" s="270">
        <v>0</v>
      </c>
      <c r="Z193" s="270">
        <v>0</v>
      </c>
      <c r="AA193" s="270">
        <v>0</v>
      </c>
      <c r="AB193" s="270">
        <v>0</v>
      </c>
      <c r="AC193" s="270">
        <v>0</v>
      </c>
      <c r="AD193" s="270">
        <v>0</v>
      </c>
      <c r="AE193" s="270">
        <v>0</v>
      </c>
      <c r="AF193" s="270">
        <v>0</v>
      </c>
      <c r="AG193" s="270">
        <v>0</v>
      </c>
      <c r="AH193" s="270">
        <v>0</v>
      </c>
      <c r="AI193" s="270">
        <v>0</v>
      </c>
      <c r="AJ193" s="270">
        <v>0</v>
      </c>
      <c r="AK193" s="270">
        <v>0</v>
      </c>
      <c r="AL193" s="270">
        <v>0</v>
      </c>
      <c r="AM193" s="270">
        <v>0</v>
      </c>
      <c r="AN193" s="270">
        <v>0</v>
      </c>
      <c r="AO193" s="270">
        <v>0</v>
      </c>
      <c r="AP193" s="270">
        <v>0</v>
      </c>
      <c r="AQ193" s="270">
        <v>0</v>
      </c>
      <c r="AR193" s="270">
        <v>0</v>
      </c>
      <c r="AS193" s="270">
        <v>0</v>
      </c>
      <c r="AT193" s="270">
        <v>0</v>
      </c>
      <c r="AU193" s="270">
        <v>0</v>
      </c>
      <c r="AV193" s="270">
        <v>0</v>
      </c>
      <c r="AW193" s="270">
        <v>0</v>
      </c>
      <c r="AX193" s="270">
        <v>0</v>
      </c>
      <c r="AY193" s="270">
        <v>0</v>
      </c>
      <c r="AZ193" s="270">
        <v>0</v>
      </c>
      <c r="BA193" s="270">
        <v>0</v>
      </c>
      <c r="BB193" s="270">
        <v>0</v>
      </c>
      <c r="BC193" s="270">
        <v>0</v>
      </c>
      <c r="BD193" s="270">
        <v>0</v>
      </c>
      <c r="BE193" s="270">
        <v>0</v>
      </c>
      <c r="BF193" s="270">
        <v>0</v>
      </c>
      <c r="BG193" s="270">
        <v>0</v>
      </c>
      <c r="BH193" s="270">
        <v>0</v>
      </c>
      <c r="BI193" s="270">
        <v>0</v>
      </c>
      <c r="BJ193" s="270">
        <v>0</v>
      </c>
      <c r="BK193" s="270">
        <v>0</v>
      </c>
      <c r="BL193" s="270">
        <v>0</v>
      </c>
      <c r="BM193" s="270">
        <v>0</v>
      </c>
      <c r="BN193" s="270">
        <v>0</v>
      </c>
      <c r="BO193" s="270">
        <v>0</v>
      </c>
      <c r="BP193" s="270">
        <v>0</v>
      </c>
      <c r="BQ193" s="270">
        <v>0</v>
      </c>
      <c r="BR193" s="270">
        <v>0</v>
      </c>
      <c r="BS193" s="270">
        <v>0</v>
      </c>
      <c r="BT193" s="298">
        <v>0</v>
      </c>
      <c r="BU193" s="298">
        <v>0</v>
      </c>
      <c r="BV193" s="298">
        <v>0</v>
      </c>
      <c r="BW193" s="298">
        <v>0</v>
      </c>
      <c r="BX193" s="298">
        <v>0</v>
      </c>
      <c r="BY193" s="298">
        <v>0</v>
      </c>
      <c r="BZ193" s="298">
        <v>0</v>
      </c>
      <c r="CA193" s="298">
        <v>0</v>
      </c>
      <c r="CB193" s="298">
        <v>0</v>
      </c>
      <c r="CC193" s="298">
        <v>0</v>
      </c>
      <c r="CD193" s="298">
        <v>0</v>
      </c>
      <c r="CE193" s="298">
        <v>0</v>
      </c>
      <c r="CF193" s="298">
        <v>0</v>
      </c>
      <c r="CG193" s="298">
        <v>0</v>
      </c>
      <c r="CH193" s="298">
        <v>0</v>
      </c>
      <c r="CI193" s="298">
        <v>0</v>
      </c>
      <c r="CJ193" s="298">
        <v>0</v>
      </c>
      <c r="CK193" s="298">
        <v>0</v>
      </c>
      <c r="CL193" s="298">
        <v>0</v>
      </c>
      <c r="CM193" s="298">
        <v>0</v>
      </c>
      <c r="CN193" s="298">
        <v>0</v>
      </c>
      <c r="CO193" s="298">
        <v>0</v>
      </c>
      <c r="CP193" s="298">
        <v>0</v>
      </c>
      <c r="CQ193" s="298">
        <v>0</v>
      </c>
    </row>
    <row r="194" spans="1:95" x14ac:dyDescent="0.3">
      <c r="A194" s="270">
        <v>544</v>
      </c>
      <c r="B194" s="270">
        <v>544</v>
      </c>
      <c r="C194" s="270" t="s">
        <v>53</v>
      </c>
      <c r="D194" s="270" t="s">
        <v>510</v>
      </c>
      <c r="E194" s="270">
        <v>0</v>
      </c>
      <c r="F194" s="270">
        <v>0</v>
      </c>
      <c r="G194" s="270">
        <v>0</v>
      </c>
      <c r="H194" s="270">
        <v>0</v>
      </c>
      <c r="I194" s="270">
        <v>0</v>
      </c>
      <c r="J194" s="270">
        <v>0</v>
      </c>
      <c r="K194" s="270">
        <v>0.02</v>
      </c>
      <c r="L194" s="270">
        <v>0</v>
      </c>
      <c r="M194" s="270">
        <v>0</v>
      </c>
      <c r="N194" s="270">
        <v>0</v>
      </c>
      <c r="O194" s="270">
        <v>0</v>
      </c>
      <c r="P194" s="270">
        <v>0</v>
      </c>
      <c r="Q194" s="270">
        <v>0</v>
      </c>
      <c r="R194" s="270">
        <v>-0.03</v>
      </c>
      <c r="S194" s="270">
        <v>0</v>
      </c>
      <c r="T194" s="270">
        <v>0</v>
      </c>
      <c r="U194" s="270">
        <v>0</v>
      </c>
      <c r="V194" s="270">
        <v>0</v>
      </c>
      <c r="W194" s="270">
        <v>0</v>
      </c>
      <c r="X194" s="270">
        <v>0</v>
      </c>
      <c r="Y194" s="270">
        <v>0</v>
      </c>
      <c r="Z194" s="270">
        <v>0</v>
      </c>
      <c r="AA194" s="270">
        <v>0</v>
      </c>
      <c r="AB194" s="270">
        <v>0</v>
      </c>
      <c r="AC194" s="270">
        <v>0</v>
      </c>
      <c r="AD194" s="270">
        <v>0</v>
      </c>
      <c r="AE194" s="270">
        <v>0</v>
      </c>
      <c r="AF194" s="270">
        <v>0</v>
      </c>
      <c r="AG194" s="270">
        <v>0</v>
      </c>
      <c r="AH194" s="270">
        <v>0</v>
      </c>
      <c r="AI194" s="270">
        <v>0</v>
      </c>
      <c r="AJ194" s="270">
        <v>0</v>
      </c>
      <c r="AK194" s="270">
        <v>0</v>
      </c>
      <c r="AL194" s="270">
        <v>0</v>
      </c>
      <c r="AM194" s="270">
        <v>0</v>
      </c>
      <c r="AN194" s="270">
        <v>0</v>
      </c>
      <c r="AO194" s="270">
        <v>0</v>
      </c>
      <c r="AP194" s="270">
        <v>0</v>
      </c>
      <c r="AQ194" s="270">
        <v>0</v>
      </c>
      <c r="AR194" s="270">
        <v>0</v>
      </c>
      <c r="AS194" s="270">
        <v>0</v>
      </c>
      <c r="AT194" s="270">
        <v>1.5</v>
      </c>
      <c r="AU194" s="270">
        <v>0</v>
      </c>
      <c r="AV194" s="270">
        <v>0</v>
      </c>
      <c r="AW194" s="270">
        <v>0</v>
      </c>
      <c r="AX194" s="270">
        <v>0</v>
      </c>
      <c r="AY194" s="270">
        <v>0</v>
      </c>
      <c r="AZ194" s="270">
        <v>0</v>
      </c>
      <c r="BA194" s="270">
        <v>0</v>
      </c>
      <c r="BB194" s="270">
        <v>0</v>
      </c>
      <c r="BC194" s="270">
        <v>0</v>
      </c>
      <c r="BD194" s="270">
        <v>0</v>
      </c>
      <c r="BE194" s="270">
        <v>0</v>
      </c>
      <c r="BF194" s="270">
        <v>0</v>
      </c>
      <c r="BG194" s="270">
        <v>0</v>
      </c>
      <c r="BH194" s="270">
        <v>0.01</v>
      </c>
      <c r="BI194" s="270">
        <v>0</v>
      </c>
      <c r="BJ194" s="270">
        <v>0</v>
      </c>
      <c r="BK194" s="270">
        <v>0.03</v>
      </c>
      <c r="BL194" s="270">
        <v>1</v>
      </c>
      <c r="BM194" s="270">
        <v>0</v>
      </c>
      <c r="BN194" s="270">
        <v>0</v>
      </c>
      <c r="BO194" s="270">
        <v>0</v>
      </c>
      <c r="BP194" s="270">
        <v>0</v>
      </c>
      <c r="BQ194" s="270">
        <v>0</v>
      </c>
      <c r="BR194" s="270">
        <v>0</v>
      </c>
      <c r="BS194" s="270">
        <v>0</v>
      </c>
      <c r="BT194" s="298">
        <v>0</v>
      </c>
      <c r="BU194" s="298">
        <v>0</v>
      </c>
      <c r="BV194" s="298">
        <v>0</v>
      </c>
      <c r="BW194" s="298">
        <v>0</v>
      </c>
      <c r="BX194" s="298">
        <v>0</v>
      </c>
      <c r="BY194" s="298">
        <v>0</v>
      </c>
      <c r="BZ194" s="298">
        <v>0</v>
      </c>
      <c r="CA194" s="298">
        <v>0</v>
      </c>
      <c r="CB194" s="298">
        <v>0.02</v>
      </c>
      <c r="CC194" s="298">
        <v>0.02</v>
      </c>
      <c r="CD194" s="298">
        <v>0</v>
      </c>
      <c r="CE194" s="298">
        <v>0</v>
      </c>
      <c r="CF194" s="298">
        <v>0</v>
      </c>
      <c r="CG194" s="298">
        <v>0</v>
      </c>
      <c r="CH194" s="298">
        <v>0</v>
      </c>
      <c r="CI194" s="298">
        <v>0</v>
      </c>
      <c r="CJ194" s="298">
        <v>0</v>
      </c>
      <c r="CK194" s="298">
        <v>0</v>
      </c>
      <c r="CL194" s="298">
        <v>0</v>
      </c>
      <c r="CM194" s="298">
        <v>0</v>
      </c>
      <c r="CN194" s="298">
        <v>0</v>
      </c>
      <c r="CO194" s="298">
        <v>0</v>
      </c>
      <c r="CP194" s="298">
        <v>0</v>
      </c>
      <c r="CQ194" s="298">
        <v>0.02</v>
      </c>
    </row>
    <row r="195" spans="1:95" x14ac:dyDescent="0.3">
      <c r="A195" s="270">
        <v>545</v>
      </c>
      <c r="B195" s="270">
        <v>545</v>
      </c>
      <c r="C195" s="270" t="s">
        <v>54</v>
      </c>
      <c r="D195" s="270" t="s">
        <v>511</v>
      </c>
      <c r="E195" s="270">
        <v>0</v>
      </c>
      <c r="F195" s="270">
        <v>0</v>
      </c>
      <c r="G195" s="270">
        <v>0</v>
      </c>
      <c r="H195" s="270">
        <v>0</v>
      </c>
      <c r="I195" s="270">
        <v>0</v>
      </c>
      <c r="J195" s="270">
        <v>0</v>
      </c>
      <c r="K195" s="270">
        <v>0</v>
      </c>
      <c r="L195" s="270">
        <v>0</v>
      </c>
      <c r="M195" s="270">
        <v>0</v>
      </c>
      <c r="N195" s="270">
        <v>0</v>
      </c>
      <c r="O195" s="270">
        <v>0</v>
      </c>
      <c r="P195" s="270">
        <v>0</v>
      </c>
      <c r="Q195" s="270">
        <v>0</v>
      </c>
      <c r="R195" s="270">
        <v>0</v>
      </c>
      <c r="S195" s="270">
        <v>0</v>
      </c>
      <c r="T195" s="270">
        <v>0</v>
      </c>
      <c r="U195" s="270">
        <v>0</v>
      </c>
      <c r="V195" s="270">
        <v>0</v>
      </c>
      <c r="W195" s="270">
        <v>0</v>
      </c>
      <c r="X195" s="270">
        <v>0</v>
      </c>
      <c r="Y195" s="270">
        <v>0</v>
      </c>
      <c r="Z195" s="270">
        <v>0</v>
      </c>
      <c r="AA195" s="270">
        <v>0</v>
      </c>
      <c r="AB195" s="270">
        <v>0</v>
      </c>
      <c r="AC195" s="270">
        <v>0</v>
      </c>
      <c r="AD195" s="270">
        <v>0</v>
      </c>
      <c r="AE195" s="270">
        <v>0</v>
      </c>
      <c r="AF195" s="270">
        <v>0</v>
      </c>
      <c r="AG195" s="270">
        <v>0</v>
      </c>
      <c r="AH195" s="270">
        <v>0</v>
      </c>
      <c r="AI195" s="270">
        <v>0</v>
      </c>
      <c r="AJ195" s="270">
        <v>0</v>
      </c>
      <c r="AK195" s="270">
        <v>0</v>
      </c>
      <c r="AL195" s="270">
        <v>0</v>
      </c>
      <c r="AM195" s="270">
        <v>0</v>
      </c>
      <c r="AN195" s="270">
        <v>0</v>
      </c>
      <c r="AO195" s="270">
        <v>0</v>
      </c>
      <c r="AP195" s="270">
        <v>0</v>
      </c>
      <c r="AQ195" s="270">
        <v>0</v>
      </c>
      <c r="AR195" s="270">
        <v>0</v>
      </c>
      <c r="AS195" s="270">
        <v>0</v>
      </c>
      <c r="AT195" s="270">
        <v>0</v>
      </c>
      <c r="AU195" s="270">
        <v>0</v>
      </c>
      <c r="AV195" s="270">
        <v>0.01</v>
      </c>
      <c r="AW195" s="270">
        <v>0</v>
      </c>
      <c r="AX195" s="270">
        <v>0</v>
      </c>
      <c r="AY195" s="270">
        <v>0</v>
      </c>
      <c r="AZ195" s="270">
        <v>0</v>
      </c>
      <c r="BA195" s="270">
        <v>0</v>
      </c>
      <c r="BB195" s="270">
        <v>0</v>
      </c>
      <c r="BC195" s="270">
        <v>0</v>
      </c>
      <c r="BD195" s="270">
        <v>0</v>
      </c>
      <c r="BE195" s="270">
        <v>0</v>
      </c>
      <c r="BF195" s="270">
        <v>0</v>
      </c>
      <c r="BG195" s="270">
        <v>0</v>
      </c>
      <c r="BH195" s="270">
        <v>0</v>
      </c>
      <c r="BI195" s="270">
        <v>0</v>
      </c>
      <c r="BJ195" s="270">
        <v>0</v>
      </c>
      <c r="BK195" s="270">
        <v>0</v>
      </c>
      <c r="BL195" s="270">
        <v>0</v>
      </c>
      <c r="BM195" s="270">
        <v>0</v>
      </c>
      <c r="BN195" s="270">
        <v>0</v>
      </c>
      <c r="BO195" s="270">
        <v>0</v>
      </c>
      <c r="BP195" s="270">
        <v>0</v>
      </c>
      <c r="BQ195" s="270">
        <v>0</v>
      </c>
      <c r="BR195" s="270">
        <v>0</v>
      </c>
      <c r="BS195" s="270">
        <v>0</v>
      </c>
      <c r="BT195" s="298">
        <v>0</v>
      </c>
      <c r="BU195" s="298">
        <v>0</v>
      </c>
      <c r="BV195" s="298">
        <v>0</v>
      </c>
      <c r="BW195" s="298">
        <v>0</v>
      </c>
      <c r="BX195" s="298">
        <v>0</v>
      </c>
      <c r="BY195" s="298">
        <v>0</v>
      </c>
      <c r="BZ195" s="298">
        <v>0</v>
      </c>
      <c r="CA195" s="298">
        <v>0</v>
      </c>
      <c r="CB195" s="298">
        <v>0</v>
      </c>
      <c r="CC195" s="298">
        <v>0</v>
      </c>
      <c r="CD195" s="298">
        <v>0</v>
      </c>
      <c r="CE195" s="298">
        <v>0</v>
      </c>
      <c r="CF195" s="298">
        <v>0</v>
      </c>
      <c r="CG195" s="298">
        <v>0</v>
      </c>
      <c r="CH195" s="298">
        <v>4</v>
      </c>
      <c r="CI195" s="298">
        <v>0</v>
      </c>
      <c r="CJ195" s="298">
        <v>0</v>
      </c>
      <c r="CK195" s="298">
        <v>0</v>
      </c>
      <c r="CL195" s="298">
        <v>0</v>
      </c>
      <c r="CM195" s="298">
        <v>0</v>
      </c>
      <c r="CN195" s="298">
        <v>0</v>
      </c>
      <c r="CO195" s="298">
        <v>0</v>
      </c>
      <c r="CP195" s="298">
        <v>0</v>
      </c>
      <c r="CQ195" s="298">
        <v>0</v>
      </c>
    </row>
    <row r="196" spans="1:95" x14ac:dyDescent="0.3">
      <c r="A196" s="270"/>
      <c r="B196" s="270">
        <v>546</v>
      </c>
      <c r="C196" s="270" t="s">
        <v>842</v>
      </c>
      <c r="D196" s="270" t="s">
        <v>512</v>
      </c>
      <c r="E196" s="270"/>
      <c r="F196" s="270"/>
      <c r="G196" s="270"/>
      <c r="H196" s="270"/>
      <c r="I196" s="270"/>
      <c r="J196" s="270"/>
      <c r="K196" s="270"/>
      <c r="L196" s="270"/>
      <c r="M196" s="270"/>
      <c r="N196" s="270"/>
      <c r="O196" s="270"/>
      <c r="P196" s="270"/>
      <c r="Q196" s="270"/>
      <c r="R196" s="270"/>
      <c r="S196" s="270"/>
      <c r="T196" s="270"/>
      <c r="U196" s="270"/>
      <c r="V196" s="270"/>
      <c r="W196" s="270"/>
      <c r="X196" s="270"/>
      <c r="Y196" s="270"/>
      <c r="Z196" s="270"/>
      <c r="AA196" s="270"/>
      <c r="AB196" s="270"/>
      <c r="AC196" s="270"/>
      <c r="AD196" s="270"/>
      <c r="AE196" s="270"/>
      <c r="AF196" s="270"/>
      <c r="AG196" s="270"/>
      <c r="AH196" s="270"/>
      <c r="AI196" s="270"/>
      <c r="AJ196" s="270"/>
      <c r="AK196" s="270"/>
      <c r="AL196" s="270"/>
      <c r="AM196" s="270"/>
      <c r="AN196" s="270"/>
      <c r="AO196" s="270"/>
      <c r="AP196" s="270"/>
      <c r="AQ196" s="270"/>
      <c r="AR196" s="270"/>
      <c r="AS196" s="270"/>
      <c r="AT196" s="270"/>
      <c r="AU196" s="270"/>
      <c r="AV196" s="270"/>
      <c r="AW196" s="270"/>
      <c r="AX196" s="270"/>
      <c r="AY196" s="270"/>
      <c r="AZ196" s="270"/>
      <c r="BA196" s="270"/>
      <c r="BB196" s="270"/>
      <c r="BC196" s="270"/>
      <c r="BD196" s="270"/>
      <c r="BE196" s="270"/>
      <c r="BF196" s="270"/>
      <c r="BG196" s="270"/>
      <c r="BH196" s="270"/>
      <c r="BI196" s="270"/>
      <c r="BJ196" s="270"/>
      <c r="BK196" s="270"/>
      <c r="BL196" s="270"/>
      <c r="BM196" s="270"/>
      <c r="BN196" s="270"/>
      <c r="BO196" s="270"/>
      <c r="BP196" s="270"/>
      <c r="BQ196" s="270"/>
      <c r="BR196" s="270"/>
      <c r="BS196" s="270"/>
    </row>
    <row r="197" spans="1:95" ht="100.8" x14ac:dyDescent="0.3">
      <c r="A197" s="270">
        <v>547</v>
      </c>
      <c r="B197" s="270">
        <v>547</v>
      </c>
      <c r="C197" s="963" t="s">
        <v>1779</v>
      </c>
      <c r="D197" s="270" t="s">
        <v>513</v>
      </c>
      <c r="E197" s="270">
        <v>2</v>
      </c>
      <c r="F197" s="270">
        <v>2</v>
      </c>
      <c r="G197" s="270">
        <v>2</v>
      </c>
      <c r="H197" s="270">
        <v>3</v>
      </c>
      <c r="I197" s="270">
        <v>2</v>
      </c>
      <c r="J197" s="270">
        <v>2</v>
      </c>
      <c r="K197" s="270">
        <v>1</v>
      </c>
      <c r="L197" s="270">
        <v>3</v>
      </c>
      <c r="M197" s="270">
        <v>2</v>
      </c>
      <c r="N197" s="270">
        <v>2</v>
      </c>
      <c r="O197" s="270">
        <v>2</v>
      </c>
      <c r="P197" s="270">
        <v>2</v>
      </c>
      <c r="Q197" s="270">
        <v>2</v>
      </c>
      <c r="R197" s="270">
        <v>2</v>
      </c>
      <c r="S197" s="270">
        <v>2</v>
      </c>
      <c r="T197" s="270">
        <v>4</v>
      </c>
      <c r="U197" s="270">
        <v>2</v>
      </c>
      <c r="V197" s="270">
        <v>3</v>
      </c>
      <c r="W197" s="270">
        <v>2</v>
      </c>
      <c r="X197" s="270">
        <v>3</v>
      </c>
      <c r="Y197" s="270">
        <v>2</v>
      </c>
      <c r="Z197" s="270">
        <v>2</v>
      </c>
      <c r="AA197" s="270">
        <v>3</v>
      </c>
      <c r="AB197" s="270">
        <v>2</v>
      </c>
      <c r="AC197" s="270">
        <v>2</v>
      </c>
      <c r="AD197" s="270">
        <v>2</v>
      </c>
      <c r="AE197" s="270">
        <v>3</v>
      </c>
      <c r="AF197" s="270">
        <v>2</v>
      </c>
      <c r="AG197" s="270">
        <v>3</v>
      </c>
      <c r="AH197" s="270">
        <v>2</v>
      </c>
      <c r="AI197" s="270">
        <v>2</v>
      </c>
      <c r="AJ197" s="270">
        <v>2</v>
      </c>
      <c r="AK197" s="270">
        <v>3</v>
      </c>
      <c r="AL197" s="270">
        <v>2</v>
      </c>
      <c r="AM197" s="270">
        <v>0</v>
      </c>
      <c r="AN197" s="270">
        <v>2</v>
      </c>
      <c r="AO197" s="270">
        <v>2</v>
      </c>
      <c r="AP197" s="270">
        <v>3</v>
      </c>
      <c r="AQ197" s="270">
        <v>2</v>
      </c>
      <c r="AR197" s="270">
        <v>2</v>
      </c>
      <c r="AS197" s="270">
        <v>2</v>
      </c>
      <c r="AT197" s="270">
        <v>2</v>
      </c>
      <c r="AU197" s="270">
        <v>2</v>
      </c>
      <c r="AV197" s="270">
        <v>3</v>
      </c>
      <c r="AW197" s="270">
        <v>3</v>
      </c>
      <c r="AX197" s="270">
        <v>2</v>
      </c>
      <c r="AY197" s="270">
        <v>3</v>
      </c>
      <c r="AZ197" s="270">
        <v>2</v>
      </c>
      <c r="BA197" s="270">
        <v>2</v>
      </c>
      <c r="BB197" s="270">
        <v>2</v>
      </c>
      <c r="BC197" s="270">
        <v>2</v>
      </c>
      <c r="BD197" s="270">
        <v>2</v>
      </c>
      <c r="BE197" s="270">
        <v>2</v>
      </c>
      <c r="BF197" s="270">
        <v>2</v>
      </c>
      <c r="BG197" s="270">
        <v>2</v>
      </c>
      <c r="BH197" s="270">
        <v>3</v>
      </c>
      <c r="BI197" s="270">
        <v>2</v>
      </c>
      <c r="BJ197" s="270">
        <v>2</v>
      </c>
      <c r="BK197" s="270">
        <v>2</v>
      </c>
      <c r="BL197" s="270">
        <v>3</v>
      </c>
      <c r="BM197" s="270">
        <v>3</v>
      </c>
      <c r="BN197" s="270">
        <v>2</v>
      </c>
      <c r="BO197" s="270">
        <v>2</v>
      </c>
      <c r="BP197" s="270">
        <v>3</v>
      </c>
      <c r="BQ197" s="270">
        <v>1</v>
      </c>
      <c r="BR197" s="270">
        <v>2</v>
      </c>
      <c r="BS197" s="270">
        <v>2</v>
      </c>
      <c r="BT197" s="298">
        <v>2</v>
      </c>
      <c r="BU197" s="298">
        <v>2</v>
      </c>
      <c r="BV197" s="298">
        <v>2</v>
      </c>
      <c r="BW197" s="298">
        <v>2</v>
      </c>
      <c r="BX197" s="298">
        <v>3</v>
      </c>
      <c r="BY197" s="298">
        <v>2</v>
      </c>
      <c r="BZ197" s="298">
        <v>0</v>
      </c>
      <c r="CA197" s="298">
        <v>3</v>
      </c>
      <c r="CB197" s="298">
        <v>3</v>
      </c>
      <c r="CC197" s="298">
        <v>3</v>
      </c>
      <c r="CD197" s="298">
        <v>2</v>
      </c>
      <c r="CE197" s="298">
        <v>3</v>
      </c>
      <c r="CF197" s="298">
        <v>2</v>
      </c>
      <c r="CG197" s="298">
        <v>2</v>
      </c>
      <c r="CH197" s="298">
        <v>3</v>
      </c>
      <c r="CI197" s="298">
        <v>3</v>
      </c>
      <c r="CJ197" s="298">
        <v>2</v>
      </c>
      <c r="CK197" s="298">
        <v>3</v>
      </c>
      <c r="CL197" s="298">
        <v>2</v>
      </c>
      <c r="CM197" s="298">
        <v>3</v>
      </c>
      <c r="CN197" s="298">
        <v>2</v>
      </c>
      <c r="CO197" s="298">
        <v>2</v>
      </c>
      <c r="CP197" s="298">
        <v>2</v>
      </c>
      <c r="CQ197" s="298">
        <v>3</v>
      </c>
    </row>
    <row r="198" spans="1:95" x14ac:dyDescent="0.3">
      <c r="A198" s="270"/>
      <c r="B198" s="270">
        <v>548</v>
      </c>
      <c r="C198" s="270" t="s">
        <v>539</v>
      </c>
      <c r="D198" s="270" t="s">
        <v>569</v>
      </c>
      <c r="E198" s="270">
        <v>0</v>
      </c>
      <c r="F198" s="270">
        <v>0</v>
      </c>
      <c r="G198" s="270">
        <v>0</v>
      </c>
      <c r="H198" s="270">
        <v>0</v>
      </c>
      <c r="I198" s="270">
        <v>0</v>
      </c>
      <c r="J198" s="270">
        <v>0</v>
      </c>
      <c r="K198" s="270">
        <v>0</v>
      </c>
      <c r="L198" s="270">
        <v>0</v>
      </c>
      <c r="M198" s="270">
        <v>0</v>
      </c>
      <c r="N198" s="270">
        <v>0</v>
      </c>
      <c r="O198" s="270">
        <v>0</v>
      </c>
      <c r="P198" s="270">
        <v>0</v>
      </c>
      <c r="Q198" s="270">
        <v>0</v>
      </c>
      <c r="R198" s="270">
        <v>0</v>
      </c>
      <c r="S198" s="270">
        <v>0</v>
      </c>
      <c r="T198" s="270">
        <v>0</v>
      </c>
      <c r="U198" s="270">
        <v>0</v>
      </c>
      <c r="V198" s="270">
        <v>0</v>
      </c>
      <c r="W198" s="270">
        <v>0</v>
      </c>
      <c r="X198" s="270">
        <v>0</v>
      </c>
      <c r="Y198" s="270">
        <v>0</v>
      </c>
      <c r="Z198" s="270">
        <v>0</v>
      </c>
      <c r="AA198" s="270">
        <v>0</v>
      </c>
      <c r="AB198" s="270">
        <v>0</v>
      </c>
      <c r="AC198" s="270">
        <v>0</v>
      </c>
      <c r="AD198" s="270">
        <v>0</v>
      </c>
      <c r="AE198" s="270">
        <v>0</v>
      </c>
      <c r="AF198" s="270">
        <v>0</v>
      </c>
      <c r="AG198" s="270">
        <v>0</v>
      </c>
      <c r="AH198" s="270">
        <v>0</v>
      </c>
      <c r="AI198" s="270">
        <v>0</v>
      </c>
      <c r="AJ198" s="270">
        <v>0</v>
      </c>
      <c r="AK198" s="270">
        <v>0</v>
      </c>
      <c r="AL198" s="270">
        <v>0</v>
      </c>
      <c r="AM198" s="270">
        <v>0</v>
      </c>
      <c r="AN198" s="270">
        <v>0</v>
      </c>
      <c r="AO198" s="270">
        <v>0</v>
      </c>
      <c r="AP198" s="270">
        <v>0</v>
      </c>
      <c r="AQ198" s="270">
        <v>0</v>
      </c>
      <c r="AR198" s="270">
        <v>0</v>
      </c>
      <c r="AS198" s="270">
        <v>0</v>
      </c>
      <c r="AT198" s="270">
        <v>0</v>
      </c>
      <c r="AU198" s="270">
        <v>0</v>
      </c>
      <c r="AV198" s="270">
        <v>0</v>
      </c>
      <c r="AW198" s="270">
        <v>0</v>
      </c>
      <c r="AX198" s="270">
        <v>0</v>
      </c>
      <c r="AY198" s="270">
        <v>0</v>
      </c>
      <c r="AZ198" s="270">
        <v>0</v>
      </c>
      <c r="BA198" s="270">
        <v>0</v>
      </c>
      <c r="BB198" s="270">
        <v>0</v>
      </c>
      <c r="BC198" s="270">
        <v>0</v>
      </c>
      <c r="BD198" s="270">
        <v>0</v>
      </c>
      <c r="BE198" s="270">
        <v>0</v>
      </c>
      <c r="BF198" s="270">
        <v>0</v>
      </c>
      <c r="BG198" s="270">
        <v>0</v>
      </c>
      <c r="BH198" s="270">
        <v>0</v>
      </c>
      <c r="BI198" s="270">
        <v>0</v>
      </c>
      <c r="BJ198" s="270">
        <v>0</v>
      </c>
      <c r="BK198" s="270">
        <v>0</v>
      </c>
      <c r="BL198" s="270">
        <v>0</v>
      </c>
      <c r="BM198" s="270">
        <v>0</v>
      </c>
      <c r="BN198" s="270">
        <v>0</v>
      </c>
      <c r="BO198" s="270">
        <v>0</v>
      </c>
      <c r="BP198" s="270">
        <v>0</v>
      </c>
      <c r="BQ198" s="270">
        <v>0</v>
      </c>
      <c r="BR198" s="270">
        <v>0</v>
      </c>
      <c r="BS198" s="270">
        <v>0</v>
      </c>
      <c r="BT198" s="298">
        <v>0</v>
      </c>
      <c r="BU198" s="298">
        <v>0</v>
      </c>
      <c r="BV198" s="298">
        <v>0</v>
      </c>
      <c r="BW198" s="298">
        <v>0</v>
      </c>
      <c r="BX198" s="298">
        <v>0</v>
      </c>
      <c r="BY198" s="298">
        <v>0</v>
      </c>
      <c r="BZ198" s="298">
        <v>0</v>
      </c>
      <c r="CA198" s="298">
        <v>0</v>
      </c>
      <c r="CB198" s="298">
        <v>0</v>
      </c>
      <c r="CC198" s="298">
        <v>0</v>
      </c>
      <c r="CD198" s="298">
        <v>0</v>
      </c>
      <c r="CE198" s="298">
        <v>0</v>
      </c>
      <c r="CF198" s="298">
        <v>0</v>
      </c>
      <c r="CG198" s="298">
        <v>0</v>
      </c>
      <c r="CH198" s="298">
        <v>0</v>
      </c>
      <c r="CI198" s="298">
        <v>0</v>
      </c>
      <c r="CJ198" s="298">
        <v>0</v>
      </c>
      <c r="CK198" s="298">
        <v>0</v>
      </c>
      <c r="CL198" s="298">
        <v>0</v>
      </c>
      <c r="CM198" s="298">
        <v>0</v>
      </c>
      <c r="CN198" s="298">
        <v>0</v>
      </c>
      <c r="CO198" s="298">
        <v>0</v>
      </c>
      <c r="CP198" s="298">
        <v>0</v>
      </c>
      <c r="CQ198" s="298">
        <v>0</v>
      </c>
    </row>
    <row r="199" spans="1:95" x14ac:dyDescent="0.3">
      <c r="A199" s="270"/>
      <c r="B199" s="270">
        <v>549</v>
      </c>
      <c r="C199" s="270" t="s">
        <v>1780</v>
      </c>
      <c r="D199" s="270" t="s">
        <v>570</v>
      </c>
      <c r="E199" s="270">
        <v>0</v>
      </c>
      <c r="F199" s="270">
        <v>0</v>
      </c>
      <c r="G199" s="270">
        <v>0</v>
      </c>
      <c r="H199" s="270">
        <v>0</v>
      </c>
      <c r="I199" s="270">
        <v>0</v>
      </c>
      <c r="J199" s="270">
        <v>0</v>
      </c>
      <c r="K199" s="270">
        <v>0</v>
      </c>
      <c r="L199" s="270">
        <v>0</v>
      </c>
      <c r="M199" s="270">
        <v>0</v>
      </c>
      <c r="N199" s="270">
        <v>0</v>
      </c>
      <c r="O199" s="270">
        <v>0</v>
      </c>
      <c r="P199" s="270">
        <v>0</v>
      </c>
      <c r="Q199" s="270">
        <v>0</v>
      </c>
      <c r="R199" s="270">
        <v>0</v>
      </c>
      <c r="S199" s="270">
        <v>0</v>
      </c>
      <c r="T199" s="270">
        <v>0</v>
      </c>
      <c r="U199" s="270">
        <v>0</v>
      </c>
      <c r="V199" s="270">
        <v>0</v>
      </c>
      <c r="W199" s="270">
        <v>0</v>
      </c>
      <c r="X199" s="270">
        <v>0</v>
      </c>
      <c r="Y199" s="270">
        <v>0</v>
      </c>
      <c r="Z199" s="270">
        <v>0</v>
      </c>
      <c r="AA199" s="270">
        <v>0</v>
      </c>
      <c r="AB199" s="270">
        <v>0</v>
      </c>
      <c r="AC199" s="270">
        <v>0</v>
      </c>
      <c r="AD199" s="270">
        <v>0</v>
      </c>
      <c r="AE199" s="270">
        <v>0</v>
      </c>
      <c r="AF199" s="270">
        <v>0</v>
      </c>
      <c r="AG199" s="270">
        <v>0</v>
      </c>
      <c r="AH199" s="270">
        <v>0</v>
      </c>
      <c r="AI199" s="270">
        <v>0</v>
      </c>
      <c r="AJ199" s="270">
        <v>0</v>
      </c>
      <c r="AK199" s="270">
        <v>0</v>
      </c>
      <c r="AL199" s="270">
        <v>0</v>
      </c>
      <c r="AM199" s="270">
        <v>0</v>
      </c>
      <c r="AN199" s="270">
        <v>0</v>
      </c>
      <c r="AO199" s="270">
        <v>0</v>
      </c>
      <c r="AP199" s="270">
        <v>0</v>
      </c>
      <c r="AQ199" s="270">
        <v>0</v>
      </c>
      <c r="AR199" s="270">
        <v>0</v>
      </c>
      <c r="AS199" s="270">
        <v>0</v>
      </c>
      <c r="AT199" s="270">
        <v>0</v>
      </c>
      <c r="AU199" s="270">
        <v>0</v>
      </c>
      <c r="AV199" s="270">
        <v>0</v>
      </c>
      <c r="AW199" s="270">
        <v>0</v>
      </c>
      <c r="AX199" s="270">
        <v>0</v>
      </c>
      <c r="AY199" s="270">
        <v>0</v>
      </c>
      <c r="AZ199" s="270">
        <v>0</v>
      </c>
      <c r="BA199" s="270">
        <v>0</v>
      </c>
      <c r="BB199" s="270">
        <v>0</v>
      </c>
      <c r="BC199" s="270">
        <v>0</v>
      </c>
      <c r="BD199" s="270">
        <v>0</v>
      </c>
      <c r="BE199" s="270">
        <v>0</v>
      </c>
      <c r="BF199" s="270">
        <v>0</v>
      </c>
      <c r="BG199" s="270">
        <v>0</v>
      </c>
      <c r="BH199" s="270">
        <v>0</v>
      </c>
      <c r="BI199" s="270">
        <v>0</v>
      </c>
      <c r="BJ199" s="270">
        <v>0</v>
      </c>
      <c r="BK199" s="270">
        <v>0</v>
      </c>
      <c r="BL199" s="270">
        <v>0</v>
      </c>
      <c r="BM199" s="270">
        <v>0</v>
      </c>
      <c r="BN199" s="270">
        <v>0</v>
      </c>
      <c r="BO199" s="270">
        <v>0</v>
      </c>
      <c r="BP199" s="270">
        <v>0</v>
      </c>
      <c r="BQ199" s="270">
        <v>0</v>
      </c>
      <c r="BR199" s="270">
        <v>0</v>
      </c>
      <c r="BS199" s="270">
        <v>0</v>
      </c>
      <c r="BT199" s="298">
        <v>0</v>
      </c>
      <c r="BU199" s="298">
        <v>0</v>
      </c>
      <c r="BV199" s="298">
        <v>0</v>
      </c>
      <c r="BW199" s="298">
        <v>0</v>
      </c>
      <c r="BX199" s="298">
        <v>0</v>
      </c>
      <c r="BY199" s="298">
        <v>0</v>
      </c>
      <c r="BZ199" s="298">
        <v>0</v>
      </c>
      <c r="CA199" s="298">
        <v>0</v>
      </c>
      <c r="CB199" s="298">
        <v>0</v>
      </c>
      <c r="CC199" s="298">
        <v>0</v>
      </c>
      <c r="CD199" s="298">
        <v>0</v>
      </c>
      <c r="CE199" s="298">
        <v>0</v>
      </c>
      <c r="CF199" s="298">
        <v>0</v>
      </c>
      <c r="CG199" s="298">
        <v>0</v>
      </c>
      <c r="CH199" s="298">
        <v>0</v>
      </c>
      <c r="CI199" s="298">
        <v>0</v>
      </c>
      <c r="CJ199" s="298">
        <v>0</v>
      </c>
      <c r="CK199" s="298">
        <v>0</v>
      </c>
      <c r="CL199" s="298">
        <v>0</v>
      </c>
      <c r="CM199" s="298">
        <v>0</v>
      </c>
      <c r="CN199" s="298">
        <v>0</v>
      </c>
      <c r="CO199" s="298">
        <v>0</v>
      </c>
      <c r="CP199" s="298">
        <v>0</v>
      </c>
      <c r="CQ199" s="298">
        <v>0</v>
      </c>
    </row>
    <row r="200" spans="1:95" x14ac:dyDescent="0.3">
      <c r="A200" s="270"/>
      <c r="B200" s="270">
        <v>550</v>
      </c>
      <c r="C200" s="270" t="s">
        <v>571</v>
      </c>
      <c r="D200" s="270" t="s">
        <v>572</v>
      </c>
      <c r="E200" s="270">
        <v>0</v>
      </c>
      <c r="F200" s="270">
        <v>0</v>
      </c>
      <c r="G200" s="270">
        <v>0</v>
      </c>
      <c r="H200" s="270">
        <v>0</v>
      </c>
      <c r="I200" s="270">
        <v>0</v>
      </c>
      <c r="J200" s="270">
        <v>0</v>
      </c>
      <c r="K200" s="270">
        <v>0</v>
      </c>
      <c r="L200" s="270">
        <v>0</v>
      </c>
      <c r="M200" s="270">
        <v>0</v>
      </c>
      <c r="N200" s="270">
        <v>0</v>
      </c>
      <c r="O200" s="270">
        <v>0</v>
      </c>
      <c r="P200" s="270">
        <v>0</v>
      </c>
      <c r="Q200" s="270">
        <v>0</v>
      </c>
      <c r="R200" s="270">
        <v>0</v>
      </c>
      <c r="S200" s="270">
        <v>0</v>
      </c>
      <c r="T200" s="270">
        <v>0</v>
      </c>
      <c r="U200" s="270">
        <v>0</v>
      </c>
      <c r="V200" s="270">
        <v>0</v>
      </c>
      <c r="W200" s="270">
        <v>0</v>
      </c>
      <c r="X200" s="270">
        <v>0</v>
      </c>
      <c r="Y200" s="270">
        <v>0</v>
      </c>
      <c r="Z200" s="270">
        <v>0</v>
      </c>
      <c r="AA200" s="270">
        <v>0</v>
      </c>
      <c r="AB200" s="270">
        <v>0</v>
      </c>
      <c r="AC200" s="270">
        <v>0</v>
      </c>
      <c r="AD200" s="270">
        <v>0</v>
      </c>
      <c r="AE200" s="270">
        <v>0</v>
      </c>
      <c r="AF200" s="270">
        <v>0</v>
      </c>
      <c r="AG200" s="270">
        <v>0</v>
      </c>
      <c r="AH200" s="270">
        <v>0</v>
      </c>
      <c r="AI200" s="270">
        <v>0</v>
      </c>
      <c r="AJ200" s="270">
        <v>0</v>
      </c>
      <c r="AK200" s="270">
        <v>0</v>
      </c>
      <c r="AL200" s="270">
        <v>0</v>
      </c>
      <c r="AM200" s="270">
        <v>0</v>
      </c>
      <c r="AN200" s="270">
        <v>0</v>
      </c>
      <c r="AO200" s="270">
        <v>0</v>
      </c>
      <c r="AP200" s="270">
        <v>0</v>
      </c>
      <c r="AQ200" s="270">
        <v>0</v>
      </c>
      <c r="AR200" s="270">
        <v>0</v>
      </c>
      <c r="AS200" s="270">
        <v>0</v>
      </c>
      <c r="AT200" s="270">
        <v>0</v>
      </c>
      <c r="AU200" s="270">
        <v>0</v>
      </c>
      <c r="AV200" s="270">
        <v>0</v>
      </c>
      <c r="AW200" s="270">
        <v>0</v>
      </c>
      <c r="AX200" s="270">
        <v>0</v>
      </c>
      <c r="AY200" s="270">
        <v>0</v>
      </c>
      <c r="AZ200" s="270">
        <v>0</v>
      </c>
      <c r="BA200" s="270">
        <v>0</v>
      </c>
      <c r="BB200" s="270">
        <v>0</v>
      </c>
      <c r="BC200" s="270">
        <v>0</v>
      </c>
      <c r="BD200" s="270">
        <v>0</v>
      </c>
      <c r="BE200" s="270">
        <v>0</v>
      </c>
      <c r="BF200" s="270">
        <v>0</v>
      </c>
      <c r="BG200" s="270">
        <v>0</v>
      </c>
      <c r="BH200" s="270">
        <v>0</v>
      </c>
      <c r="BI200" s="270">
        <v>0</v>
      </c>
      <c r="BJ200" s="270">
        <v>0</v>
      </c>
      <c r="BK200" s="270">
        <v>0</v>
      </c>
      <c r="BL200" s="270">
        <v>0</v>
      </c>
      <c r="BM200" s="270">
        <v>0</v>
      </c>
      <c r="BN200" s="270">
        <v>0</v>
      </c>
      <c r="BO200" s="270">
        <v>0</v>
      </c>
      <c r="BP200" s="270">
        <v>0</v>
      </c>
      <c r="BQ200" s="270">
        <v>0</v>
      </c>
      <c r="BR200" s="270">
        <v>0</v>
      </c>
      <c r="BS200" s="270">
        <v>0</v>
      </c>
      <c r="BT200" s="298">
        <v>0</v>
      </c>
      <c r="BU200" s="298">
        <v>0</v>
      </c>
      <c r="BV200" s="298">
        <v>0</v>
      </c>
      <c r="BW200" s="298">
        <v>0</v>
      </c>
      <c r="BX200" s="298">
        <v>0</v>
      </c>
      <c r="BY200" s="298">
        <v>0</v>
      </c>
      <c r="BZ200" s="298">
        <v>0</v>
      </c>
      <c r="CA200" s="298">
        <v>0</v>
      </c>
      <c r="CB200" s="298">
        <v>0</v>
      </c>
      <c r="CC200" s="298">
        <v>0</v>
      </c>
      <c r="CD200" s="298">
        <v>0</v>
      </c>
      <c r="CE200" s="298">
        <v>0</v>
      </c>
      <c r="CF200" s="298">
        <v>0</v>
      </c>
      <c r="CG200" s="298">
        <v>0</v>
      </c>
      <c r="CH200" s="298">
        <v>0</v>
      </c>
      <c r="CI200" s="298">
        <v>0</v>
      </c>
      <c r="CJ200" s="298">
        <v>0</v>
      </c>
      <c r="CK200" s="298">
        <v>0</v>
      </c>
      <c r="CL200" s="298">
        <v>0</v>
      </c>
      <c r="CM200" s="298">
        <v>0</v>
      </c>
      <c r="CN200" s="298">
        <v>0</v>
      </c>
      <c r="CO200" s="298">
        <v>0</v>
      </c>
      <c r="CP200" s="298">
        <v>0</v>
      </c>
      <c r="CQ200" s="298">
        <v>0</v>
      </c>
    </row>
    <row r="201" spans="1:95" x14ac:dyDescent="0.3">
      <c r="A201" s="270"/>
      <c r="B201" s="270">
        <v>551</v>
      </c>
      <c r="C201" s="270" t="s">
        <v>1781</v>
      </c>
      <c r="D201" s="270" t="s">
        <v>573</v>
      </c>
      <c r="E201" s="270">
        <v>0</v>
      </c>
      <c r="F201" s="270">
        <v>0</v>
      </c>
      <c r="G201" s="270">
        <v>0</v>
      </c>
      <c r="H201" s="270">
        <v>0</v>
      </c>
      <c r="I201" s="270">
        <v>0</v>
      </c>
      <c r="J201" s="270">
        <v>0</v>
      </c>
      <c r="K201" s="270">
        <v>0</v>
      </c>
      <c r="L201" s="270">
        <v>0</v>
      </c>
      <c r="M201" s="270">
        <v>0</v>
      </c>
      <c r="N201" s="270">
        <v>0</v>
      </c>
      <c r="O201" s="270">
        <v>0</v>
      </c>
      <c r="P201" s="270">
        <v>0</v>
      </c>
      <c r="Q201" s="270">
        <v>0</v>
      </c>
      <c r="R201" s="270">
        <v>0</v>
      </c>
      <c r="S201" s="270">
        <v>0</v>
      </c>
      <c r="T201" s="270">
        <v>0</v>
      </c>
      <c r="U201" s="270">
        <v>0</v>
      </c>
      <c r="V201" s="270">
        <v>0</v>
      </c>
      <c r="W201" s="270">
        <v>0</v>
      </c>
      <c r="X201" s="270">
        <v>0</v>
      </c>
      <c r="Y201" s="270">
        <v>0</v>
      </c>
      <c r="Z201" s="270">
        <v>0</v>
      </c>
      <c r="AA201" s="270">
        <v>0</v>
      </c>
      <c r="AB201" s="270">
        <v>0</v>
      </c>
      <c r="AC201" s="270">
        <v>0</v>
      </c>
      <c r="AD201" s="270">
        <v>0</v>
      </c>
      <c r="AE201" s="270">
        <v>0</v>
      </c>
      <c r="AF201" s="270">
        <v>0</v>
      </c>
      <c r="AG201" s="270">
        <v>0</v>
      </c>
      <c r="AH201" s="270">
        <v>0</v>
      </c>
      <c r="AI201" s="270">
        <v>0</v>
      </c>
      <c r="AJ201" s="270">
        <v>0</v>
      </c>
      <c r="AK201" s="270">
        <v>0</v>
      </c>
      <c r="AL201" s="270">
        <v>0</v>
      </c>
      <c r="AM201" s="270">
        <v>0</v>
      </c>
      <c r="AN201" s="270">
        <v>0</v>
      </c>
      <c r="AO201" s="270">
        <v>0</v>
      </c>
      <c r="AP201" s="270">
        <v>0</v>
      </c>
      <c r="AQ201" s="270">
        <v>0</v>
      </c>
      <c r="AR201" s="270">
        <v>0</v>
      </c>
      <c r="AS201" s="270">
        <v>0</v>
      </c>
      <c r="AT201" s="270">
        <v>0</v>
      </c>
      <c r="AU201" s="270">
        <v>0</v>
      </c>
      <c r="AV201" s="270">
        <v>0</v>
      </c>
      <c r="AW201" s="270">
        <v>0</v>
      </c>
      <c r="AX201" s="270">
        <v>0</v>
      </c>
      <c r="AY201" s="270">
        <v>0</v>
      </c>
      <c r="AZ201" s="270">
        <v>0</v>
      </c>
      <c r="BA201" s="270">
        <v>0</v>
      </c>
      <c r="BB201" s="270">
        <v>0</v>
      </c>
      <c r="BC201" s="270">
        <v>0</v>
      </c>
      <c r="BD201" s="270">
        <v>0</v>
      </c>
      <c r="BE201" s="270">
        <v>0</v>
      </c>
      <c r="BF201" s="270">
        <v>0</v>
      </c>
      <c r="BG201" s="270">
        <v>0</v>
      </c>
      <c r="BH201" s="270">
        <v>0</v>
      </c>
      <c r="BI201" s="270">
        <v>0</v>
      </c>
      <c r="BJ201" s="270">
        <v>0</v>
      </c>
      <c r="BK201" s="270">
        <v>0</v>
      </c>
      <c r="BL201" s="270">
        <v>0</v>
      </c>
      <c r="BM201" s="270">
        <v>0</v>
      </c>
      <c r="BN201" s="270">
        <v>0</v>
      </c>
      <c r="BO201" s="270">
        <v>0</v>
      </c>
      <c r="BP201" s="270">
        <v>0</v>
      </c>
      <c r="BQ201" s="270">
        <v>0</v>
      </c>
      <c r="BR201" s="270">
        <v>0</v>
      </c>
      <c r="BS201" s="270">
        <v>0</v>
      </c>
      <c r="BT201" s="298">
        <v>0</v>
      </c>
      <c r="BU201" s="298">
        <v>0</v>
      </c>
      <c r="BV201" s="298">
        <v>0</v>
      </c>
      <c r="BW201" s="298">
        <v>0</v>
      </c>
      <c r="BX201" s="298">
        <v>0</v>
      </c>
      <c r="BY201" s="298">
        <v>0</v>
      </c>
      <c r="BZ201" s="298">
        <v>0</v>
      </c>
      <c r="CA201" s="298">
        <v>0</v>
      </c>
      <c r="CB201" s="298">
        <v>0</v>
      </c>
      <c r="CC201" s="298">
        <v>0</v>
      </c>
      <c r="CD201" s="298">
        <v>0</v>
      </c>
      <c r="CE201" s="298">
        <v>0</v>
      </c>
      <c r="CF201" s="298">
        <v>0</v>
      </c>
      <c r="CG201" s="298">
        <v>0</v>
      </c>
      <c r="CH201" s="298">
        <v>0</v>
      </c>
      <c r="CI201" s="298">
        <v>0</v>
      </c>
      <c r="CJ201" s="298">
        <v>0</v>
      </c>
      <c r="CK201" s="298">
        <v>0</v>
      </c>
      <c r="CL201" s="298">
        <v>0</v>
      </c>
      <c r="CM201" s="298">
        <v>0</v>
      </c>
      <c r="CN201" s="298">
        <v>0</v>
      </c>
      <c r="CO201" s="298">
        <v>0</v>
      </c>
      <c r="CP201" s="298">
        <v>0</v>
      </c>
      <c r="CQ201" s="298">
        <v>0</v>
      </c>
    </row>
    <row r="202" spans="1:95" x14ac:dyDescent="0.3">
      <c r="A202" s="270"/>
      <c r="B202" s="270">
        <v>552</v>
      </c>
      <c r="C202" s="270" t="s">
        <v>541</v>
      </c>
      <c r="D202" s="270" t="s">
        <v>574</v>
      </c>
      <c r="E202" s="270">
        <v>0</v>
      </c>
      <c r="F202" s="270">
        <v>0</v>
      </c>
      <c r="G202" s="270">
        <v>0</v>
      </c>
      <c r="H202" s="270">
        <v>0</v>
      </c>
      <c r="I202" s="270">
        <v>0</v>
      </c>
      <c r="J202" s="270">
        <v>0</v>
      </c>
      <c r="K202" s="270">
        <v>0</v>
      </c>
      <c r="L202" s="270">
        <v>0</v>
      </c>
      <c r="M202" s="270">
        <v>0</v>
      </c>
      <c r="N202" s="270">
        <v>0</v>
      </c>
      <c r="O202" s="270">
        <v>0</v>
      </c>
      <c r="P202" s="270">
        <v>0</v>
      </c>
      <c r="Q202" s="270">
        <v>0</v>
      </c>
      <c r="R202" s="270">
        <v>0</v>
      </c>
      <c r="S202" s="270">
        <v>0</v>
      </c>
      <c r="T202" s="270">
        <v>0</v>
      </c>
      <c r="U202" s="270">
        <v>0</v>
      </c>
      <c r="V202" s="270">
        <v>0</v>
      </c>
      <c r="W202" s="270">
        <v>0</v>
      </c>
      <c r="X202" s="270">
        <v>0</v>
      </c>
      <c r="Y202" s="270">
        <v>0</v>
      </c>
      <c r="Z202" s="270">
        <v>0</v>
      </c>
      <c r="AA202" s="270">
        <v>0</v>
      </c>
      <c r="AB202" s="270">
        <v>0</v>
      </c>
      <c r="AC202" s="270">
        <v>0</v>
      </c>
      <c r="AD202" s="270">
        <v>0</v>
      </c>
      <c r="AE202" s="270">
        <v>0</v>
      </c>
      <c r="AF202" s="270">
        <v>0</v>
      </c>
      <c r="AG202" s="270">
        <v>0</v>
      </c>
      <c r="AH202" s="270">
        <v>0</v>
      </c>
      <c r="AI202" s="270">
        <v>0</v>
      </c>
      <c r="AJ202" s="270">
        <v>0</v>
      </c>
      <c r="AK202" s="270">
        <v>0</v>
      </c>
      <c r="AL202" s="270">
        <v>0</v>
      </c>
      <c r="AM202" s="270">
        <v>0</v>
      </c>
      <c r="AN202" s="270">
        <v>0</v>
      </c>
      <c r="AO202" s="270">
        <v>0</v>
      </c>
      <c r="AP202" s="270">
        <v>0</v>
      </c>
      <c r="AQ202" s="270">
        <v>0</v>
      </c>
      <c r="AR202" s="270">
        <v>0</v>
      </c>
      <c r="AS202" s="270">
        <v>0</v>
      </c>
      <c r="AT202" s="270">
        <v>0</v>
      </c>
      <c r="AU202" s="270">
        <v>0</v>
      </c>
      <c r="AV202" s="270">
        <v>0</v>
      </c>
      <c r="AW202" s="270">
        <v>0</v>
      </c>
      <c r="AX202" s="270">
        <v>0</v>
      </c>
      <c r="AY202" s="270">
        <v>0</v>
      </c>
      <c r="AZ202" s="270">
        <v>0</v>
      </c>
      <c r="BA202" s="270">
        <v>0</v>
      </c>
      <c r="BB202" s="270">
        <v>0</v>
      </c>
      <c r="BC202" s="270">
        <v>0</v>
      </c>
      <c r="BD202" s="270">
        <v>0</v>
      </c>
      <c r="BE202" s="270">
        <v>0</v>
      </c>
      <c r="BF202" s="270">
        <v>0</v>
      </c>
      <c r="BG202" s="270">
        <v>0</v>
      </c>
      <c r="BH202" s="270">
        <v>0</v>
      </c>
      <c r="BI202" s="270">
        <v>0</v>
      </c>
      <c r="BJ202" s="270">
        <v>0</v>
      </c>
      <c r="BK202" s="270">
        <v>0</v>
      </c>
      <c r="BL202" s="270">
        <v>0</v>
      </c>
      <c r="BM202" s="270">
        <v>0</v>
      </c>
      <c r="BN202" s="270">
        <v>0</v>
      </c>
      <c r="BO202" s="270">
        <v>0</v>
      </c>
      <c r="BP202" s="270">
        <v>0</v>
      </c>
      <c r="BQ202" s="270">
        <v>0</v>
      </c>
      <c r="BR202" s="270">
        <v>0</v>
      </c>
      <c r="BS202" s="270">
        <v>0</v>
      </c>
      <c r="BT202" s="298">
        <v>0</v>
      </c>
      <c r="BU202" s="298">
        <v>0</v>
      </c>
      <c r="BV202" s="298">
        <v>0</v>
      </c>
      <c r="BW202" s="298">
        <v>0</v>
      </c>
      <c r="BX202" s="298">
        <v>0</v>
      </c>
      <c r="BY202" s="298">
        <v>0</v>
      </c>
      <c r="BZ202" s="298">
        <v>0</v>
      </c>
      <c r="CA202" s="298">
        <v>0</v>
      </c>
      <c r="CB202" s="298">
        <v>0</v>
      </c>
      <c r="CC202" s="298">
        <v>0</v>
      </c>
      <c r="CD202" s="298">
        <v>0</v>
      </c>
      <c r="CE202" s="298">
        <v>0</v>
      </c>
      <c r="CF202" s="298">
        <v>0</v>
      </c>
      <c r="CG202" s="298">
        <v>0</v>
      </c>
      <c r="CH202" s="298">
        <v>0</v>
      </c>
      <c r="CI202" s="298">
        <v>0</v>
      </c>
      <c r="CJ202" s="298">
        <v>0</v>
      </c>
      <c r="CK202" s="298">
        <v>0</v>
      </c>
      <c r="CL202" s="298">
        <v>0</v>
      </c>
      <c r="CM202" s="298">
        <v>0</v>
      </c>
      <c r="CN202" s="298">
        <v>0</v>
      </c>
      <c r="CO202" s="298">
        <v>0</v>
      </c>
      <c r="CP202" s="298">
        <v>0</v>
      </c>
      <c r="CQ202" s="298">
        <v>0</v>
      </c>
    </row>
    <row r="203" spans="1:95" x14ac:dyDescent="0.3">
      <c r="A203" s="270"/>
      <c r="B203" s="270">
        <v>553</v>
      </c>
      <c r="C203" s="270" t="s">
        <v>575</v>
      </c>
      <c r="D203" s="270" t="s">
        <v>576</v>
      </c>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c r="AA203" s="270"/>
      <c r="AB203" s="270"/>
      <c r="AC203" s="270"/>
      <c r="AD203" s="270"/>
      <c r="AE203" s="270"/>
      <c r="AF203" s="270"/>
      <c r="AG203" s="270"/>
      <c r="AH203" s="270"/>
      <c r="AI203" s="270"/>
      <c r="AJ203" s="270"/>
      <c r="AK203" s="270"/>
      <c r="AL203" s="270"/>
      <c r="AM203" s="270"/>
      <c r="AN203" s="270"/>
      <c r="AO203" s="270"/>
      <c r="AP203" s="270"/>
      <c r="AQ203" s="270"/>
      <c r="AR203" s="270"/>
      <c r="AS203" s="270"/>
      <c r="AT203" s="270"/>
      <c r="AU203" s="270"/>
      <c r="AV203" s="270"/>
      <c r="AW203" s="270"/>
      <c r="AX203" s="270"/>
      <c r="AY203" s="270"/>
      <c r="AZ203" s="270"/>
      <c r="BA203" s="270"/>
      <c r="BB203" s="270"/>
      <c r="BC203" s="270"/>
      <c r="BD203" s="270"/>
      <c r="BE203" s="270"/>
      <c r="BF203" s="270"/>
      <c r="BG203" s="270"/>
      <c r="BH203" s="270"/>
      <c r="BI203" s="270"/>
      <c r="BJ203" s="270"/>
      <c r="BK203" s="270"/>
      <c r="BL203" s="270"/>
      <c r="BM203" s="270"/>
      <c r="BN203" s="270"/>
      <c r="BO203" s="270"/>
      <c r="BP203" s="270"/>
      <c r="BQ203" s="270"/>
      <c r="BR203" s="270"/>
      <c r="BS203" s="270"/>
    </row>
    <row r="204" spans="1:95" x14ac:dyDescent="0.3">
      <c r="A204" s="270">
        <v>554</v>
      </c>
      <c r="B204" s="270">
        <v>554</v>
      </c>
      <c r="C204" s="270" t="s">
        <v>577</v>
      </c>
      <c r="D204" s="270" t="s">
        <v>578</v>
      </c>
      <c r="E204" s="270">
        <v>0</v>
      </c>
      <c r="F204" s="270">
        <v>0</v>
      </c>
      <c r="G204" s="270">
        <v>0</v>
      </c>
      <c r="H204" s="1112">
        <v>0</v>
      </c>
      <c r="I204" s="270">
        <v>224356</v>
      </c>
      <c r="J204" s="270">
        <v>0</v>
      </c>
      <c r="K204" s="270">
        <v>590551</v>
      </c>
      <c r="L204" s="270">
        <v>0</v>
      </c>
      <c r="M204" s="1112">
        <v>0</v>
      </c>
      <c r="N204" s="270">
        <v>0</v>
      </c>
      <c r="O204" s="270">
        <v>2267809</v>
      </c>
      <c r="P204" s="270">
        <v>0</v>
      </c>
      <c r="Q204" s="1112">
        <v>0</v>
      </c>
      <c r="R204" s="1112">
        <v>0</v>
      </c>
      <c r="S204" s="270">
        <v>0</v>
      </c>
      <c r="T204" s="270">
        <v>0</v>
      </c>
      <c r="U204" s="270">
        <v>3751756</v>
      </c>
      <c r="V204" s="1112">
        <v>0</v>
      </c>
      <c r="W204" s="270">
        <v>0</v>
      </c>
      <c r="X204" s="270">
        <v>0</v>
      </c>
      <c r="Y204" s="1112">
        <v>1644858</v>
      </c>
      <c r="Z204" s="270">
        <v>0</v>
      </c>
      <c r="AA204" s="270">
        <v>383474</v>
      </c>
      <c r="AB204" s="270">
        <v>0</v>
      </c>
      <c r="AC204" s="270">
        <v>0</v>
      </c>
      <c r="AD204" s="270">
        <v>0</v>
      </c>
      <c r="AE204" s="270">
        <v>1707444</v>
      </c>
      <c r="AF204" s="270">
        <v>0</v>
      </c>
      <c r="AG204" s="270">
        <v>3260666</v>
      </c>
      <c r="AH204" s="1112">
        <v>0</v>
      </c>
      <c r="AI204" s="270">
        <v>0</v>
      </c>
      <c r="AJ204" s="270">
        <v>0</v>
      </c>
      <c r="AK204" s="1112">
        <v>0</v>
      </c>
      <c r="AL204" s="270">
        <v>1149802</v>
      </c>
      <c r="AM204" s="270">
        <v>0</v>
      </c>
      <c r="AN204" s="1112">
        <v>0</v>
      </c>
      <c r="AO204" s="270">
        <v>0</v>
      </c>
      <c r="AP204" s="270">
        <v>53660</v>
      </c>
      <c r="AQ204" s="270">
        <v>0</v>
      </c>
      <c r="AR204" s="270">
        <v>0</v>
      </c>
      <c r="AS204" s="270">
        <v>0</v>
      </c>
      <c r="AT204" s="270">
        <v>0</v>
      </c>
      <c r="AU204" s="270">
        <v>0</v>
      </c>
      <c r="AV204" s="270">
        <v>0</v>
      </c>
      <c r="AW204" s="270">
        <v>0</v>
      </c>
      <c r="AX204" s="270">
        <v>0</v>
      </c>
      <c r="AY204" s="270">
        <v>4713358</v>
      </c>
      <c r="AZ204" s="270">
        <v>0</v>
      </c>
      <c r="BA204" s="270">
        <v>0</v>
      </c>
      <c r="BB204" s="1112">
        <v>0</v>
      </c>
      <c r="BC204" s="270">
        <v>0</v>
      </c>
      <c r="BD204" s="270">
        <v>0</v>
      </c>
      <c r="BE204" s="270">
        <v>0</v>
      </c>
      <c r="BF204" s="1112">
        <v>3956963</v>
      </c>
      <c r="BG204" s="270">
        <v>0</v>
      </c>
      <c r="BH204" s="270">
        <v>682114</v>
      </c>
      <c r="BI204" s="270">
        <v>0</v>
      </c>
      <c r="BJ204" s="270">
        <v>0</v>
      </c>
      <c r="BK204" s="270">
        <v>0</v>
      </c>
      <c r="BL204" s="270">
        <v>0</v>
      </c>
      <c r="BM204" s="270">
        <v>0</v>
      </c>
      <c r="BN204" s="270">
        <v>0</v>
      </c>
      <c r="BO204" s="270">
        <v>0</v>
      </c>
      <c r="BP204" s="270">
        <v>0</v>
      </c>
      <c r="BQ204" s="1112">
        <v>0</v>
      </c>
      <c r="BR204" s="1112">
        <v>0</v>
      </c>
      <c r="BS204" s="1112">
        <v>0</v>
      </c>
      <c r="BT204" s="298">
        <v>1135764</v>
      </c>
      <c r="BU204" s="298">
        <v>0</v>
      </c>
      <c r="BV204" s="298">
        <v>0</v>
      </c>
      <c r="BW204" s="298">
        <v>0</v>
      </c>
      <c r="BX204" s="298">
        <v>0</v>
      </c>
      <c r="BY204" s="298">
        <v>0</v>
      </c>
      <c r="BZ204" s="298">
        <v>0</v>
      </c>
      <c r="CA204" s="298">
        <v>0</v>
      </c>
      <c r="CB204" s="298">
        <v>16986680</v>
      </c>
      <c r="CC204" s="298">
        <v>2068405</v>
      </c>
      <c r="CD204" s="298">
        <v>2822273</v>
      </c>
      <c r="CE204" s="298">
        <v>1866674</v>
      </c>
      <c r="CF204" s="298">
        <v>0</v>
      </c>
      <c r="CG204" s="298">
        <v>0</v>
      </c>
      <c r="CH204" s="298">
        <v>31253646</v>
      </c>
      <c r="CI204" s="298">
        <v>2358162</v>
      </c>
      <c r="CJ204" s="298">
        <v>0</v>
      </c>
      <c r="CK204" s="298">
        <v>0</v>
      </c>
      <c r="CL204" s="298">
        <v>0</v>
      </c>
      <c r="CM204" s="298">
        <v>0</v>
      </c>
      <c r="CN204" s="298">
        <v>1280641</v>
      </c>
      <c r="CO204" s="298">
        <v>0</v>
      </c>
      <c r="CP204" s="298">
        <v>0</v>
      </c>
      <c r="CQ204" s="298">
        <v>0</v>
      </c>
    </row>
    <row r="205" spans="1:95" x14ac:dyDescent="0.3">
      <c r="A205" s="270">
        <v>555</v>
      </c>
      <c r="B205" s="270">
        <v>555</v>
      </c>
      <c r="C205" s="270" t="s">
        <v>579</v>
      </c>
      <c r="D205" s="270" t="s">
        <v>580</v>
      </c>
      <c r="E205" s="270">
        <v>0</v>
      </c>
      <c r="F205" s="270">
        <v>0</v>
      </c>
      <c r="G205" s="270">
        <v>0</v>
      </c>
      <c r="H205" s="1112">
        <v>0</v>
      </c>
      <c r="I205" s="270">
        <v>0</v>
      </c>
      <c r="J205" s="270">
        <v>0</v>
      </c>
      <c r="K205" s="270">
        <v>0</v>
      </c>
      <c r="L205" s="270">
        <v>0</v>
      </c>
      <c r="M205" s="270">
        <v>0</v>
      </c>
      <c r="N205" s="270">
        <v>0</v>
      </c>
      <c r="O205" s="270">
        <v>2104809</v>
      </c>
      <c r="P205" s="270">
        <v>0</v>
      </c>
      <c r="Q205" s="270">
        <v>0</v>
      </c>
      <c r="R205" s="1112">
        <v>0</v>
      </c>
      <c r="S205" s="270">
        <v>0</v>
      </c>
      <c r="T205" s="270">
        <v>0</v>
      </c>
      <c r="U205" s="270">
        <v>3580000</v>
      </c>
      <c r="V205" s="1112">
        <v>0</v>
      </c>
      <c r="W205" s="270">
        <v>0</v>
      </c>
      <c r="X205" s="270">
        <v>0</v>
      </c>
      <c r="Y205" s="1112">
        <v>1586122</v>
      </c>
      <c r="Z205" s="270">
        <v>0</v>
      </c>
      <c r="AA205" s="270">
        <v>0</v>
      </c>
      <c r="AB205" s="270">
        <v>0</v>
      </c>
      <c r="AC205" s="270">
        <v>0</v>
      </c>
      <c r="AD205" s="270">
        <v>0</v>
      </c>
      <c r="AE205" s="270">
        <v>1556820</v>
      </c>
      <c r="AF205" s="270">
        <v>0</v>
      </c>
      <c r="AG205" s="270">
        <v>3260666</v>
      </c>
      <c r="AH205" s="270">
        <v>0</v>
      </c>
      <c r="AI205" s="270">
        <v>0</v>
      </c>
      <c r="AJ205" s="270">
        <v>0</v>
      </c>
      <c r="AK205" s="1112">
        <v>0</v>
      </c>
      <c r="AL205" s="270">
        <v>1089167</v>
      </c>
      <c r="AM205" s="270">
        <v>0</v>
      </c>
      <c r="AN205" s="1112">
        <v>0</v>
      </c>
      <c r="AO205" s="270">
        <v>0</v>
      </c>
      <c r="AP205" s="270">
        <v>0</v>
      </c>
      <c r="AQ205" s="270">
        <v>0</v>
      </c>
      <c r="AR205" s="270">
        <v>0</v>
      </c>
      <c r="AS205" s="270">
        <v>0</v>
      </c>
      <c r="AT205" s="270">
        <v>0</v>
      </c>
      <c r="AU205" s="270">
        <v>0</v>
      </c>
      <c r="AV205" s="270">
        <v>0</v>
      </c>
      <c r="AW205" s="270">
        <v>0</v>
      </c>
      <c r="AX205" s="270">
        <v>0</v>
      </c>
      <c r="AY205" s="270">
        <v>4666783</v>
      </c>
      <c r="AZ205" s="270">
        <v>0</v>
      </c>
      <c r="BA205" s="270">
        <v>0</v>
      </c>
      <c r="BB205" s="1112">
        <v>0</v>
      </c>
      <c r="BC205" s="270">
        <v>0</v>
      </c>
      <c r="BD205" s="270">
        <v>0</v>
      </c>
      <c r="BE205" s="270">
        <v>0</v>
      </c>
      <c r="BF205" s="1112">
        <v>3956963</v>
      </c>
      <c r="BG205" s="270">
        <v>0</v>
      </c>
      <c r="BH205" s="270">
        <v>0</v>
      </c>
      <c r="BI205" s="270">
        <v>0</v>
      </c>
      <c r="BJ205" s="270">
        <v>0</v>
      </c>
      <c r="BK205" s="270">
        <v>0</v>
      </c>
      <c r="BL205" s="270">
        <v>0</v>
      </c>
      <c r="BM205" s="270">
        <v>0</v>
      </c>
      <c r="BN205" s="270">
        <v>0</v>
      </c>
      <c r="BO205" s="270">
        <v>0</v>
      </c>
      <c r="BP205" s="270">
        <v>0</v>
      </c>
      <c r="BQ205" s="1112">
        <v>0</v>
      </c>
      <c r="BR205" s="1112">
        <v>0</v>
      </c>
      <c r="BS205" s="1112">
        <v>0</v>
      </c>
      <c r="BT205" s="298">
        <v>936414</v>
      </c>
      <c r="BU205" s="298">
        <v>0</v>
      </c>
      <c r="BV205" s="298">
        <v>0</v>
      </c>
      <c r="BW205" s="298">
        <v>0</v>
      </c>
      <c r="BX205" s="298">
        <v>0</v>
      </c>
      <c r="BY205" s="298">
        <v>0</v>
      </c>
      <c r="BZ205" s="298">
        <v>0</v>
      </c>
      <c r="CA205" s="298">
        <v>0</v>
      </c>
      <c r="CB205" s="298">
        <v>14106196</v>
      </c>
      <c r="CC205" s="298">
        <v>481651</v>
      </c>
      <c r="CD205" s="298">
        <v>2822273</v>
      </c>
      <c r="CE205" s="298">
        <v>1568114</v>
      </c>
      <c r="CF205" s="298">
        <v>0</v>
      </c>
      <c r="CG205" s="298">
        <v>0</v>
      </c>
      <c r="CH205" s="298">
        <v>13504907</v>
      </c>
      <c r="CI205" s="298">
        <v>1523384</v>
      </c>
      <c r="CJ205" s="298">
        <v>0</v>
      </c>
      <c r="CK205" s="298">
        <v>0</v>
      </c>
      <c r="CL205" s="298">
        <v>0</v>
      </c>
      <c r="CM205" s="298">
        <v>0</v>
      </c>
      <c r="CN205" s="298">
        <v>1242822</v>
      </c>
      <c r="CO205" s="298">
        <v>0</v>
      </c>
      <c r="CP205" s="298">
        <v>0</v>
      </c>
      <c r="CQ205" s="298">
        <v>0</v>
      </c>
    </row>
    <row r="206" spans="1:95" x14ac:dyDescent="0.3">
      <c r="A206" s="270">
        <v>556</v>
      </c>
      <c r="B206" s="270">
        <v>556</v>
      </c>
      <c r="C206" s="270" t="s">
        <v>581</v>
      </c>
      <c r="D206" s="270" t="s">
        <v>582</v>
      </c>
      <c r="E206" s="270">
        <v>0</v>
      </c>
      <c r="F206" s="270">
        <v>0</v>
      </c>
      <c r="G206" s="270">
        <v>0</v>
      </c>
      <c r="H206" s="1112">
        <v>0</v>
      </c>
      <c r="I206" s="270">
        <v>666436</v>
      </c>
      <c r="J206" s="270">
        <v>0</v>
      </c>
      <c r="K206" s="270">
        <v>7291259</v>
      </c>
      <c r="L206" s="270">
        <v>0</v>
      </c>
      <c r="M206" s="1112">
        <v>0</v>
      </c>
      <c r="N206" s="270">
        <v>0</v>
      </c>
      <c r="O206" s="270">
        <v>44552</v>
      </c>
      <c r="P206" s="270">
        <v>0</v>
      </c>
      <c r="Q206" s="1112">
        <v>0</v>
      </c>
      <c r="R206" s="1112">
        <v>0</v>
      </c>
      <c r="S206" s="270">
        <v>0</v>
      </c>
      <c r="T206" s="270">
        <v>0</v>
      </c>
      <c r="U206" s="270">
        <v>137644</v>
      </c>
      <c r="V206" s="1112">
        <v>0</v>
      </c>
      <c r="W206" s="270">
        <v>0</v>
      </c>
      <c r="X206" s="270">
        <v>0</v>
      </c>
      <c r="Y206" s="1112">
        <v>1644858</v>
      </c>
      <c r="Z206" s="270">
        <v>0</v>
      </c>
      <c r="AA206" s="270">
        <v>1142785</v>
      </c>
      <c r="AB206" s="270">
        <v>0</v>
      </c>
      <c r="AC206" s="270">
        <v>0</v>
      </c>
      <c r="AD206" s="270">
        <v>0</v>
      </c>
      <c r="AE206" s="270">
        <v>1499995</v>
      </c>
      <c r="AF206" s="270">
        <v>0</v>
      </c>
      <c r="AG206" s="270">
        <v>1091549</v>
      </c>
      <c r="AH206" s="1112">
        <v>0</v>
      </c>
      <c r="AI206" s="270">
        <v>0</v>
      </c>
      <c r="AJ206" s="270">
        <v>0</v>
      </c>
      <c r="AK206" s="1112">
        <v>0</v>
      </c>
      <c r="AL206" s="270">
        <v>70878</v>
      </c>
      <c r="AM206" s="270">
        <v>0</v>
      </c>
      <c r="AN206" s="1112">
        <v>0</v>
      </c>
      <c r="AO206" s="270">
        <v>0</v>
      </c>
      <c r="AP206" s="270">
        <v>1465963</v>
      </c>
      <c r="AQ206" s="270">
        <v>0</v>
      </c>
      <c r="AR206" s="270">
        <v>0</v>
      </c>
      <c r="AS206" s="270">
        <v>0</v>
      </c>
      <c r="AT206" s="270">
        <v>0</v>
      </c>
      <c r="AU206" s="270">
        <v>0</v>
      </c>
      <c r="AV206" s="270">
        <v>0</v>
      </c>
      <c r="AW206" s="270">
        <v>0</v>
      </c>
      <c r="AX206" s="270">
        <v>0</v>
      </c>
      <c r="AY206" s="270">
        <v>1135756</v>
      </c>
      <c r="AZ206" s="270">
        <v>0</v>
      </c>
      <c r="BA206" s="270">
        <v>0</v>
      </c>
      <c r="BB206" s="1112">
        <v>0</v>
      </c>
      <c r="BC206" s="270">
        <v>0</v>
      </c>
      <c r="BD206" s="270">
        <v>0</v>
      </c>
      <c r="BE206" s="270">
        <v>0</v>
      </c>
      <c r="BF206" s="270">
        <v>469716</v>
      </c>
      <c r="BG206" s="270">
        <v>0</v>
      </c>
      <c r="BH206" s="270">
        <v>1570381</v>
      </c>
      <c r="BI206" s="270">
        <v>0</v>
      </c>
      <c r="BJ206" s="270">
        <v>0</v>
      </c>
      <c r="BK206" s="270">
        <v>0</v>
      </c>
      <c r="BL206" s="270">
        <v>0</v>
      </c>
      <c r="BM206" s="270">
        <v>0</v>
      </c>
      <c r="BN206" s="270">
        <v>0</v>
      </c>
      <c r="BO206" s="270">
        <v>0</v>
      </c>
      <c r="BP206" s="270">
        <v>0</v>
      </c>
      <c r="BQ206" s="1112">
        <v>0</v>
      </c>
      <c r="BR206" s="1112">
        <v>0</v>
      </c>
      <c r="BS206" s="1112">
        <v>0</v>
      </c>
      <c r="BT206" s="298">
        <v>69086</v>
      </c>
      <c r="BU206" s="298">
        <v>0</v>
      </c>
      <c r="BV206" s="298">
        <v>0</v>
      </c>
      <c r="BW206" s="298">
        <v>0</v>
      </c>
      <c r="BX206" s="298">
        <v>608144</v>
      </c>
      <c r="BY206" s="298">
        <v>0</v>
      </c>
      <c r="BZ206" s="298">
        <v>0</v>
      </c>
      <c r="CA206" s="298">
        <v>0</v>
      </c>
      <c r="CB206" s="298">
        <v>8357046</v>
      </c>
      <c r="CC206" s="298">
        <v>2927915</v>
      </c>
      <c r="CD206" s="298">
        <v>67662</v>
      </c>
      <c r="CE206" s="298">
        <v>1444921</v>
      </c>
      <c r="CF206" s="298">
        <v>0</v>
      </c>
      <c r="CG206" s="298">
        <v>0</v>
      </c>
      <c r="CH206" s="298">
        <v>11267337</v>
      </c>
      <c r="CI206" s="298">
        <v>819245</v>
      </c>
      <c r="CJ206" s="298">
        <v>0</v>
      </c>
      <c r="CK206" s="298">
        <v>0</v>
      </c>
      <c r="CL206" s="298">
        <v>0</v>
      </c>
      <c r="CM206" s="298">
        <v>0</v>
      </c>
      <c r="CN206" s="298">
        <v>103544</v>
      </c>
      <c r="CO206" s="298">
        <v>0</v>
      </c>
      <c r="CP206" s="298">
        <v>0</v>
      </c>
      <c r="CQ206" s="298">
        <v>0</v>
      </c>
    </row>
    <row r="207" spans="1:95" x14ac:dyDescent="0.3">
      <c r="A207" s="270">
        <v>557</v>
      </c>
      <c r="B207" s="270">
        <v>557</v>
      </c>
      <c r="C207" s="270" t="s">
        <v>583</v>
      </c>
      <c r="D207" s="270" t="s">
        <v>584</v>
      </c>
      <c r="E207" s="270">
        <v>0</v>
      </c>
      <c r="F207" s="270">
        <v>0</v>
      </c>
      <c r="G207" s="270">
        <v>0</v>
      </c>
      <c r="H207" s="1112">
        <v>0</v>
      </c>
      <c r="I207" s="270">
        <v>449418</v>
      </c>
      <c r="J207" s="270">
        <v>0</v>
      </c>
      <c r="K207" s="270">
        <v>6554320</v>
      </c>
      <c r="L207" s="270">
        <v>0</v>
      </c>
      <c r="M207" s="1112">
        <v>0</v>
      </c>
      <c r="N207" s="270">
        <v>0</v>
      </c>
      <c r="O207" s="270">
        <v>0</v>
      </c>
      <c r="P207" s="270">
        <v>0</v>
      </c>
      <c r="Q207" s="1112">
        <v>0</v>
      </c>
      <c r="R207" s="1112">
        <v>0</v>
      </c>
      <c r="S207" s="270">
        <v>0</v>
      </c>
      <c r="T207" s="270">
        <v>0</v>
      </c>
      <c r="U207" s="270">
        <v>0</v>
      </c>
      <c r="V207" s="270">
        <v>0</v>
      </c>
      <c r="W207" s="270">
        <v>0</v>
      </c>
      <c r="X207" s="270">
        <v>0</v>
      </c>
      <c r="Y207" s="1112">
        <v>1586122</v>
      </c>
      <c r="Z207" s="270">
        <v>0</v>
      </c>
      <c r="AA207" s="270">
        <v>1038462</v>
      </c>
      <c r="AB207" s="270">
        <v>0</v>
      </c>
      <c r="AC207" s="270">
        <v>0</v>
      </c>
      <c r="AD207" s="270">
        <v>0</v>
      </c>
      <c r="AE207" s="270">
        <v>791798</v>
      </c>
      <c r="AF207" s="270">
        <v>0</v>
      </c>
      <c r="AG207" s="270">
        <v>1086889</v>
      </c>
      <c r="AH207" s="1112">
        <v>0</v>
      </c>
      <c r="AI207" s="270">
        <v>0</v>
      </c>
      <c r="AJ207" s="270">
        <v>0</v>
      </c>
      <c r="AK207" s="270">
        <v>0</v>
      </c>
      <c r="AL207" s="270">
        <v>0</v>
      </c>
      <c r="AM207" s="270">
        <v>0</v>
      </c>
      <c r="AN207" s="270">
        <v>0</v>
      </c>
      <c r="AO207" s="270">
        <v>0</v>
      </c>
      <c r="AP207" s="270">
        <v>702114</v>
      </c>
      <c r="AQ207" s="270">
        <v>0</v>
      </c>
      <c r="AR207" s="270">
        <v>0</v>
      </c>
      <c r="AS207" s="270">
        <v>0</v>
      </c>
      <c r="AT207" s="270">
        <v>0</v>
      </c>
      <c r="AU207" s="270">
        <v>0</v>
      </c>
      <c r="AV207" s="270">
        <v>0</v>
      </c>
      <c r="AW207" s="270">
        <v>0</v>
      </c>
      <c r="AX207" s="270">
        <v>0</v>
      </c>
      <c r="AY207" s="270">
        <v>879928</v>
      </c>
      <c r="AZ207" s="270">
        <v>0</v>
      </c>
      <c r="BA207" s="270">
        <v>0</v>
      </c>
      <c r="BB207" s="1112">
        <v>0</v>
      </c>
      <c r="BC207" s="270">
        <v>0</v>
      </c>
      <c r="BD207" s="270">
        <v>0</v>
      </c>
      <c r="BE207" s="270">
        <v>0</v>
      </c>
      <c r="BF207" s="270">
        <v>0</v>
      </c>
      <c r="BG207" s="270">
        <v>0</v>
      </c>
      <c r="BH207" s="270">
        <v>700000</v>
      </c>
      <c r="BI207" s="270">
        <v>0</v>
      </c>
      <c r="BJ207" s="270">
        <v>0</v>
      </c>
      <c r="BK207" s="270">
        <v>0</v>
      </c>
      <c r="BL207" s="270">
        <v>0</v>
      </c>
      <c r="BM207" s="270">
        <v>0</v>
      </c>
      <c r="BN207" s="270">
        <v>0</v>
      </c>
      <c r="BO207" s="270">
        <v>0</v>
      </c>
      <c r="BP207" s="270">
        <v>0</v>
      </c>
      <c r="BQ207" s="1112">
        <v>0</v>
      </c>
      <c r="BR207" s="270">
        <v>0</v>
      </c>
      <c r="BS207" s="270">
        <v>0</v>
      </c>
      <c r="BT207" s="298">
        <v>0</v>
      </c>
      <c r="BU207" s="298">
        <v>0</v>
      </c>
      <c r="BV207" s="298">
        <v>0</v>
      </c>
      <c r="BW207" s="298">
        <v>0</v>
      </c>
      <c r="BX207" s="298">
        <v>374983</v>
      </c>
      <c r="BY207" s="298">
        <v>0</v>
      </c>
      <c r="BZ207" s="298">
        <v>0</v>
      </c>
      <c r="CA207" s="298">
        <v>0</v>
      </c>
      <c r="CB207" s="298">
        <v>4418280</v>
      </c>
      <c r="CC207" s="298">
        <v>1332204</v>
      </c>
      <c r="CD207" s="298">
        <v>0</v>
      </c>
      <c r="CE207" s="298">
        <v>993406</v>
      </c>
      <c r="CF207" s="298">
        <v>0</v>
      </c>
      <c r="CG207" s="298">
        <v>0</v>
      </c>
      <c r="CH207" s="298">
        <v>8425326</v>
      </c>
      <c r="CI207" s="298">
        <v>520909</v>
      </c>
      <c r="CJ207" s="298">
        <v>0</v>
      </c>
      <c r="CK207" s="298">
        <v>0</v>
      </c>
      <c r="CL207" s="298">
        <v>0</v>
      </c>
      <c r="CM207" s="298">
        <v>0</v>
      </c>
      <c r="CN207" s="298">
        <v>0</v>
      </c>
      <c r="CO207" s="298">
        <v>0</v>
      </c>
      <c r="CP207" s="298">
        <v>0</v>
      </c>
      <c r="CQ207" s="298">
        <v>0</v>
      </c>
    </row>
    <row r="208" spans="1:95" x14ac:dyDescent="0.3">
      <c r="A208" s="270"/>
      <c r="B208" s="270">
        <v>558</v>
      </c>
      <c r="C208" s="270"/>
      <c r="D208" s="270" t="s">
        <v>585</v>
      </c>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c r="AA208" s="270"/>
      <c r="AB208" s="270"/>
      <c r="AC208" s="270"/>
      <c r="AD208" s="270"/>
      <c r="AE208" s="270"/>
      <c r="AF208" s="270"/>
      <c r="AG208" s="270"/>
      <c r="AH208" s="270"/>
      <c r="AI208" s="270"/>
      <c r="AJ208" s="270"/>
      <c r="AK208" s="270"/>
      <c r="AL208" s="270"/>
      <c r="AM208" s="270"/>
      <c r="AN208" s="270"/>
      <c r="AO208" s="270"/>
      <c r="AP208" s="270"/>
      <c r="AQ208" s="270"/>
      <c r="AR208" s="270"/>
      <c r="AS208" s="270"/>
      <c r="AT208" s="270"/>
      <c r="AU208" s="270"/>
      <c r="AV208" s="270"/>
      <c r="AW208" s="270"/>
      <c r="AX208" s="270"/>
      <c r="AY208" s="270"/>
      <c r="AZ208" s="270"/>
      <c r="BA208" s="270"/>
      <c r="BB208" s="270"/>
      <c r="BC208" s="270"/>
      <c r="BD208" s="270"/>
      <c r="BE208" s="270"/>
      <c r="BF208" s="270"/>
      <c r="BG208" s="270"/>
      <c r="BH208" s="270"/>
      <c r="BI208" s="270"/>
      <c r="BJ208" s="270"/>
      <c r="BK208" s="270"/>
      <c r="BL208" s="270"/>
      <c r="BM208" s="270"/>
      <c r="BN208" s="270"/>
      <c r="BO208" s="270"/>
      <c r="BP208" s="270"/>
      <c r="BQ208" s="270"/>
      <c r="BR208" s="270"/>
      <c r="BS208" s="270"/>
    </row>
    <row r="209" spans="1:71" x14ac:dyDescent="0.3">
      <c r="A209" s="270"/>
      <c r="B209" s="270">
        <v>559</v>
      </c>
      <c r="C209" s="270"/>
      <c r="D209" s="270" t="s">
        <v>586</v>
      </c>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c r="AA209" s="270"/>
      <c r="AB209" s="270"/>
      <c r="AC209" s="270"/>
      <c r="AD209" s="270"/>
      <c r="AE209" s="270"/>
      <c r="AF209" s="270"/>
      <c r="AG209" s="270"/>
      <c r="AH209" s="270"/>
      <c r="AI209" s="270"/>
      <c r="AJ209" s="270"/>
      <c r="AK209" s="270"/>
      <c r="AL209" s="270"/>
      <c r="AM209" s="270"/>
      <c r="AN209" s="270"/>
      <c r="AO209" s="270"/>
      <c r="AP209" s="270"/>
      <c r="AQ209" s="270"/>
      <c r="AR209" s="270"/>
      <c r="AS209" s="270"/>
      <c r="AT209" s="270"/>
      <c r="AU209" s="270"/>
      <c r="AV209" s="270"/>
      <c r="AW209" s="270"/>
      <c r="AX209" s="270"/>
      <c r="AY209" s="270"/>
      <c r="AZ209" s="270"/>
      <c r="BA209" s="270"/>
      <c r="BB209" s="270"/>
      <c r="BC209" s="270"/>
      <c r="BD209" s="270"/>
      <c r="BE209" s="270"/>
      <c r="BF209" s="270"/>
      <c r="BG209" s="270"/>
      <c r="BH209" s="270"/>
      <c r="BI209" s="270"/>
      <c r="BJ209" s="270"/>
      <c r="BK209" s="270"/>
      <c r="BL209" s="270"/>
      <c r="BM209" s="270"/>
      <c r="BN209" s="270"/>
      <c r="BO209" s="270"/>
      <c r="BP209" s="270"/>
      <c r="BQ209" s="270"/>
      <c r="BR209" s="270"/>
      <c r="BS209" s="270"/>
    </row>
    <row r="210" spans="1:71" x14ac:dyDescent="0.3">
      <c r="A210" s="270"/>
      <c r="B210" s="270">
        <v>560</v>
      </c>
      <c r="C210" s="270"/>
      <c r="D210" s="270" t="s">
        <v>587</v>
      </c>
      <c r="E210" s="270"/>
      <c r="F210" s="270"/>
      <c r="G210" s="270"/>
      <c r="H210" s="270"/>
      <c r="I210" s="270"/>
      <c r="J210" s="270"/>
      <c r="K210" s="270"/>
      <c r="L210" s="270"/>
      <c r="M210" s="270"/>
      <c r="N210" s="270"/>
      <c r="O210" s="270"/>
      <c r="P210" s="270"/>
      <c r="Q210" s="270"/>
      <c r="R210" s="270"/>
      <c r="S210" s="270"/>
      <c r="T210" s="270"/>
      <c r="U210" s="270"/>
      <c r="V210" s="270"/>
      <c r="W210" s="270"/>
      <c r="X210" s="270"/>
      <c r="Y210" s="270"/>
      <c r="Z210" s="270"/>
      <c r="AA210" s="270"/>
      <c r="AB210" s="270"/>
      <c r="AC210" s="270"/>
      <c r="AD210" s="270"/>
      <c r="AE210" s="270"/>
      <c r="AF210" s="270"/>
      <c r="AG210" s="270"/>
      <c r="AH210" s="270"/>
      <c r="AI210" s="270"/>
      <c r="AJ210" s="270"/>
      <c r="AK210" s="270"/>
      <c r="AL210" s="270"/>
      <c r="AM210" s="270"/>
      <c r="AN210" s="270"/>
      <c r="AO210" s="270"/>
      <c r="AP210" s="270"/>
      <c r="AQ210" s="270"/>
      <c r="AR210" s="270"/>
      <c r="AS210" s="270"/>
      <c r="AT210" s="270"/>
      <c r="AU210" s="270"/>
      <c r="AV210" s="270"/>
      <c r="AW210" s="270"/>
      <c r="AX210" s="270"/>
      <c r="AY210" s="270"/>
      <c r="AZ210" s="270"/>
      <c r="BA210" s="270"/>
      <c r="BB210" s="270"/>
      <c r="BC210" s="270"/>
      <c r="BD210" s="270"/>
      <c r="BE210" s="270"/>
      <c r="BF210" s="270"/>
      <c r="BG210" s="270"/>
      <c r="BH210" s="270"/>
      <c r="BI210" s="270"/>
      <c r="BJ210" s="270"/>
      <c r="BK210" s="270"/>
      <c r="BL210" s="270"/>
      <c r="BM210" s="270"/>
      <c r="BN210" s="270"/>
      <c r="BO210" s="270"/>
      <c r="BP210" s="270"/>
      <c r="BQ210" s="270"/>
      <c r="BR210" s="270"/>
      <c r="BS210" s="270"/>
    </row>
    <row r="211" spans="1:71" x14ac:dyDescent="0.3">
      <c r="A211" s="270"/>
      <c r="B211" s="270">
        <v>561</v>
      </c>
      <c r="C211" s="270"/>
      <c r="D211" s="270" t="s">
        <v>588</v>
      </c>
      <c r="E211" s="270"/>
      <c r="F211" s="270"/>
      <c r="G211" s="270"/>
      <c r="H211" s="270"/>
      <c r="I211" s="270"/>
      <c r="J211" s="270"/>
      <c r="K211" s="270"/>
      <c r="L211" s="270"/>
      <c r="M211" s="270"/>
      <c r="N211" s="270"/>
      <c r="O211" s="270"/>
      <c r="P211" s="270"/>
      <c r="Q211" s="270"/>
      <c r="R211" s="270"/>
      <c r="S211" s="270"/>
      <c r="T211" s="270"/>
      <c r="U211" s="270"/>
      <c r="V211" s="270"/>
      <c r="W211" s="270"/>
      <c r="X211" s="270"/>
      <c r="Y211" s="270"/>
      <c r="Z211" s="270"/>
      <c r="AA211" s="270"/>
      <c r="AB211" s="270"/>
      <c r="AC211" s="270"/>
      <c r="AD211" s="270"/>
      <c r="AE211" s="270"/>
      <c r="AF211" s="270"/>
      <c r="AG211" s="270"/>
      <c r="AH211" s="270"/>
      <c r="AI211" s="270"/>
      <c r="AJ211" s="270"/>
      <c r="AK211" s="270"/>
      <c r="AL211" s="270"/>
      <c r="AM211" s="270"/>
      <c r="AN211" s="270"/>
      <c r="AO211" s="270"/>
      <c r="AP211" s="270"/>
      <c r="AQ211" s="270"/>
      <c r="AR211" s="270"/>
      <c r="AS211" s="270"/>
      <c r="AT211" s="270"/>
      <c r="AU211" s="270"/>
      <c r="AV211" s="270"/>
      <c r="AW211" s="270"/>
      <c r="AX211" s="270"/>
      <c r="AY211" s="270"/>
      <c r="AZ211" s="270"/>
      <c r="BA211" s="270"/>
      <c r="BB211" s="270"/>
      <c r="BC211" s="270"/>
      <c r="BD211" s="270"/>
      <c r="BE211" s="270"/>
      <c r="BF211" s="270"/>
      <c r="BG211" s="270"/>
      <c r="BH211" s="270"/>
      <c r="BI211" s="270"/>
      <c r="BJ211" s="270"/>
      <c r="BK211" s="270"/>
      <c r="BL211" s="270"/>
      <c r="BM211" s="270"/>
      <c r="BN211" s="270"/>
      <c r="BO211" s="270"/>
      <c r="BP211" s="270"/>
      <c r="BQ211" s="270"/>
      <c r="BR211" s="270"/>
      <c r="BS211" s="270"/>
    </row>
    <row r="212" spans="1:71" x14ac:dyDescent="0.3">
      <c r="A212" s="270"/>
      <c r="B212" s="270">
        <v>562</v>
      </c>
      <c r="C212" s="270"/>
      <c r="D212" s="270" t="s">
        <v>589</v>
      </c>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c r="AA212" s="270"/>
      <c r="AB212" s="270"/>
      <c r="AC212" s="270"/>
      <c r="AD212" s="270"/>
      <c r="AE212" s="270"/>
      <c r="AF212" s="270"/>
      <c r="AG212" s="270"/>
      <c r="AH212" s="270"/>
      <c r="AI212" s="270"/>
      <c r="AJ212" s="270"/>
      <c r="AK212" s="270"/>
      <c r="AL212" s="270"/>
      <c r="AM212" s="270"/>
      <c r="AN212" s="270"/>
      <c r="AO212" s="270"/>
      <c r="AP212" s="270"/>
      <c r="AQ212" s="270"/>
      <c r="AR212" s="270"/>
      <c r="AS212" s="270"/>
      <c r="AT212" s="270"/>
      <c r="AU212" s="270"/>
      <c r="AV212" s="270"/>
      <c r="AW212" s="270"/>
      <c r="AX212" s="270"/>
      <c r="AY212" s="270"/>
      <c r="AZ212" s="270"/>
      <c r="BA212" s="270"/>
      <c r="BB212" s="270"/>
      <c r="BC212" s="270"/>
      <c r="BD212" s="270"/>
      <c r="BE212" s="270"/>
      <c r="BF212" s="270"/>
      <c r="BG212" s="270"/>
      <c r="BH212" s="270"/>
      <c r="BI212" s="270"/>
      <c r="BJ212" s="270"/>
      <c r="BK212" s="270"/>
      <c r="BL212" s="270"/>
      <c r="BM212" s="270"/>
      <c r="BN212" s="270"/>
      <c r="BO212" s="270"/>
      <c r="BP212" s="270"/>
      <c r="BQ212" s="270"/>
      <c r="BR212" s="270"/>
      <c r="BS212" s="270"/>
    </row>
    <row r="213" spans="1:71" x14ac:dyDescent="0.3">
      <c r="A213" s="270"/>
      <c r="B213" s="270">
        <v>563</v>
      </c>
      <c r="C213" s="270"/>
      <c r="D213" s="270" t="s">
        <v>590</v>
      </c>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c r="AA213" s="270"/>
      <c r="AB213" s="270"/>
      <c r="AC213" s="270"/>
      <c r="AD213" s="270"/>
      <c r="AE213" s="270"/>
      <c r="AF213" s="270"/>
      <c r="AG213" s="270"/>
      <c r="AH213" s="270"/>
      <c r="AI213" s="270"/>
      <c r="AJ213" s="270"/>
      <c r="AK213" s="270"/>
      <c r="AL213" s="270"/>
      <c r="AM213" s="270"/>
      <c r="AN213" s="270"/>
      <c r="AO213" s="270"/>
      <c r="AP213" s="270"/>
      <c r="AQ213" s="270"/>
      <c r="AR213" s="270"/>
      <c r="AS213" s="270"/>
      <c r="AT213" s="270"/>
      <c r="AU213" s="270"/>
      <c r="AV213" s="270"/>
      <c r="AW213" s="270"/>
      <c r="AX213" s="270"/>
      <c r="AY213" s="270"/>
      <c r="AZ213" s="270"/>
      <c r="BA213" s="270"/>
      <c r="BB213" s="270"/>
      <c r="BC213" s="270"/>
      <c r="BD213" s="270"/>
      <c r="BE213" s="270"/>
      <c r="BF213" s="270"/>
      <c r="BG213" s="270"/>
      <c r="BH213" s="270"/>
      <c r="BI213" s="270"/>
      <c r="BJ213" s="270"/>
      <c r="BK213" s="270"/>
      <c r="BL213" s="270"/>
      <c r="BM213" s="270"/>
      <c r="BN213" s="270"/>
      <c r="BO213" s="270"/>
      <c r="BP213" s="270"/>
      <c r="BQ213" s="270"/>
      <c r="BR213" s="270"/>
      <c r="BS213" s="270"/>
    </row>
    <row r="214" spans="1:71" x14ac:dyDescent="0.3">
      <c r="A214" s="270"/>
      <c r="B214" s="270">
        <v>564</v>
      </c>
      <c r="C214" s="270"/>
      <c r="D214" s="270" t="s">
        <v>591</v>
      </c>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c r="AA214" s="270"/>
      <c r="AB214" s="270"/>
      <c r="AC214" s="270"/>
      <c r="AD214" s="270"/>
      <c r="AE214" s="270"/>
      <c r="AF214" s="270"/>
      <c r="AG214" s="270"/>
      <c r="AH214" s="270"/>
      <c r="AI214" s="270"/>
      <c r="AJ214" s="270"/>
      <c r="AK214" s="270"/>
      <c r="AL214" s="270"/>
      <c r="AM214" s="270"/>
      <c r="AN214" s="270"/>
      <c r="AO214" s="270"/>
      <c r="AP214" s="270"/>
      <c r="AQ214" s="270"/>
      <c r="AR214" s="270"/>
      <c r="AS214" s="270"/>
      <c r="AT214" s="270"/>
      <c r="AU214" s="270"/>
      <c r="AV214" s="270"/>
      <c r="AW214" s="270"/>
      <c r="AX214" s="270"/>
      <c r="AY214" s="270"/>
      <c r="AZ214" s="270"/>
      <c r="BA214" s="270"/>
      <c r="BB214" s="270"/>
      <c r="BC214" s="270"/>
      <c r="BD214" s="270"/>
      <c r="BE214" s="270"/>
      <c r="BF214" s="270"/>
      <c r="BG214" s="270"/>
      <c r="BH214" s="270"/>
      <c r="BI214" s="270"/>
      <c r="BJ214" s="270"/>
      <c r="BK214" s="270"/>
      <c r="BL214" s="270"/>
      <c r="BM214" s="270"/>
      <c r="BN214" s="270"/>
      <c r="BO214" s="270"/>
      <c r="BP214" s="270"/>
      <c r="BQ214" s="270"/>
      <c r="BR214" s="270"/>
      <c r="BS214" s="270"/>
    </row>
    <row r="215" spans="1:71" x14ac:dyDescent="0.3">
      <c r="A215" s="270"/>
      <c r="B215" s="270">
        <v>565</v>
      </c>
      <c r="C215" s="270"/>
      <c r="D215" s="270" t="s">
        <v>592</v>
      </c>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c r="AA215" s="270"/>
      <c r="AB215" s="270"/>
      <c r="AC215" s="270"/>
      <c r="AD215" s="270"/>
      <c r="AE215" s="270"/>
      <c r="AF215" s="270"/>
      <c r="AG215" s="270"/>
      <c r="AH215" s="270"/>
      <c r="AI215" s="270"/>
      <c r="AJ215" s="270"/>
      <c r="AK215" s="270"/>
      <c r="AL215" s="270"/>
      <c r="AM215" s="270"/>
      <c r="AN215" s="270"/>
      <c r="AO215" s="270"/>
      <c r="AP215" s="270"/>
      <c r="AQ215" s="270"/>
      <c r="AR215" s="270"/>
      <c r="AS215" s="270"/>
      <c r="AT215" s="270"/>
      <c r="AU215" s="270"/>
      <c r="AV215" s="270"/>
      <c r="AW215" s="270"/>
      <c r="AX215" s="270"/>
      <c r="AY215" s="270"/>
      <c r="AZ215" s="270"/>
      <c r="BA215" s="270"/>
      <c r="BB215" s="270"/>
      <c r="BC215" s="270"/>
      <c r="BD215" s="270"/>
      <c r="BE215" s="270"/>
      <c r="BF215" s="270"/>
      <c r="BG215" s="270"/>
      <c r="BH215" s="270"/>
      <c r="BI215" s="270"/>
      <c r="BJ215" s="270"/>
      <c r="BK215" s="270"/>
      <c r="BL215" s="270"/>
      <c r="BM215" s="270"/>
      <c r="BN215" s="270"/>
      <c r="BO215" s="270"/>
      <c r="BP215" s="270"/>
      <c r="BQ215" s="270"/>
      <c r="BR215" s="270"/>
      <c r="BS215" s="270"/>
    </row>
    <row r="216" spans="1:71" x14ac:dyDescent="0.3">
      <c r="A216" s="270"/>
      <c r="B216" s="270">
        <v>566</v>
      </c>
      <c r="C216" s="270"/>
      <c r="D216" s="270" t="s">
        <v>593</v>
      </c>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c r="AB216" s="270"/>
      <c r="AC216" s="270"/>
      <c r="AD216" s="270"/>
      <c r="AE216" s="270"/>
      <c r="AF216" s="270"/>
      <c r="AG216" s="270"/>
      <c r="AH216" s="270"/>
      <c r="AI216" s="270"/>
      <c r="AJ216" s="270"/>
      <c r="AK216" s="270"/>
      <c r="AL216" s="270"/>
      <c r="AM216" s="270"/>
      <c r="AN216" s="270"/>
      <c r="AO216" s="270"/>
      <c r="AP216" s="270"/>
      <c r="AQ216" s="270"/>
      <c r="AR216" s="270"/>
      <c r="AS216" s="270"/>
      <c r="AT216" s="270"/>
      <c r="AU216" s="270"/>
      <c r="AV216" s="270"/>
      <c r="AW216" s="270"/>
      <c r="AX216" s="270"/>
      <c r="AY216" s="270"/>
      <c r="AZ216" s="270"/>
      <c r="BA216" s="270"/>
      <c r="BB216" s="270"/>
      <c r="BC216" s="270"/>
      <c r="BD216" s="270"/>
      <c r="BE216" s="270"/>
      <c r="BF216" s="270"/>
      <c r="BG216" s="270"/>
      <c r="BH216" s="270"/>
      <c r="BI216" s="270"/>
      <c r="BJ216" s="270"/>
      <c r="BK216" s="270"/>
      <c r="BL216" s="270"/>
      <c r="BM216" s="270"/>
      <c r="BN216" s="270"/>
      <c r="BO216" s="270"/>
      <c r="BP216" s="270"/>
      <c r="BQ216" s="270"/>
      <c r="BR216" s="270"/>
      <c r="BS216" s="270"/>
    </row>
    <row r="217" spans="1:71" x14ac:dyDescent="0.3">
      <c r="A217" s="270"/>
      <c r="B217" s="270">
        <v>567</v>
      </c>
      <c r="C217" s="270"/>
      <c r="D217" s="270" t="s">
        <v>594</v>
      </c>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c r="AA217" s="270"/>
      <c r="AB217" s="270"/>
      <c r="AC217" s="270"/>
      <c r="AD217" s="270"/>
      <c r="AE217" s="270"/>
      <c r="AF217" s="270"/>
      <c r="AG217" s="270"/>
      <c r="AH217" s="270"/>
      <c r="AI217" s="270"/>
      <c r="AJ217" s="270"/>
      <c r="AK217" s="270"/>
      <c r="AL217" s="270"/>
      <c r="AM217" s="270"/>
      <c r="AN217" s="270"/>
      <c r="AO217" s="270"/>
      <c r="AP217" s="270"/>
      <c r="AQ217" s="270"/>
      <c r="AR217" s="270"/>
      <c r="AS217" s="270"/>
      <c r="AT217" s="270"/>
      <c r="AU217" s="270"/>
      <c r="AV217" s="270"/>
      <c r="AW217" s="270"/>
      <c r="AX217" s="270"/>
      <c r="AY217" s="270"/>
      <c r="AZ217" s="270"/>
      <c r="BA217" s="270"/>
      <c r="BB217" s="270"/>
      <c r="BC217" s="270"/>
      <c r="BD217" s="270"/>
      <c r="BE217" s="270"/>
      <c r="BF217" s="270"/>
      <c r="BG217" s="270"/>
      <c r="BH217" s="270"/>
      <c r="BI217" s="270"/>
      <c r="BJ217" s="270"/>
      <c r="BK217" s="270"/>
      <c r="BL217" s="270"/>
      <c r="BM217" s="270"/>
      <c r="BN217" s="270"/>
      <c r="BO217" s="270"/>
      <c r="BP217" s="270"/>
      <c r="BQ217" s="270"/>
      <c r="BR217" s="270"/>
      <c r="BS217" s="270"/>
    </row>
    <row r="218" spans="1:71" x14ac:dyDescent="0.3">
      <c r="A218" s="270"/>
      <c r="B218" s="270">
        <v>568</v>
      </c>
      <c r="C218" s="270"/>
      <c r="D218" s="270" t="s">
        <v>595</v>
      </c>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c r="AA218" s="270"/>
      <c r="AB218" s="270"/>
      <c r="AC218" s="270"/>
      <c r="AD218" s="270"/>
      <c r="AE218" s="270"/>
      <c r="AF218" s="270"/>
      <c r="AG218" s="270"/>
      <c r="AH218" s="270"/>
      <c r="AI218" s="270"/>
      <c r="AJ218" s="270"/>
      <c r="AK218" s="270"/>
      <c r="AL218" s="270"/>
      <c r="AM218" s="270"/>
      <c r="AN218" s="270"/>
      <c r="AO218" s="270"/>
      <c r="AP218" s="270"/>
      <c r="AQ218" s="270"/>
      <c r="AR218" s="270"/>
      <c r="AS218" s="270"/>
      <c r="AT218" s="270"/>
      <c r="AU218" s="270"/>
      <c r="AV218" s="270"/>
      <c r="AW218" s="270"/>
      <c r="AX218" s="270"/>
      <c r="AY218" s="270"/>
      <c r="AZ218" s="270"/>
      <c r="BA218" s="270"/>
      <c r="BB218" s="270"/>
      <c r="BC218" s="270"/>
      <c r="BD218" s="270"/>
      <c r="BE218" s="270"/>
      <c r="BF218" s="270"/>
      <c r="BG218" s="270"/>
      <c r="BH218" s="270"/>
      <c r="BI218" s="270"/>
      <c r="BJ218" s="270"/>
      <c r="BK218" s="270"/>
      <c r="BL218" s="270"/>
      <c r="BM218" s="270"/>
      <c r="BN218" s="270"/>
      <c r="BO218" s="270"/>
      <c r="BP218" s="270"/>
      <c r="BQ218" s="270"/>
      <c r="BR218" s="270"/>
      <c r="BS218" s="270"/>
    </row>
    <row r="219" spans="1:71" x14ac:dyDescent="0.3">
      <c r="A219" s="270"/>
      <c r="B219" s="270">
        <v>569</v>
      </c>
      <c r="C219" s="270"/>
      <c r="D219" s="270" t="s">
        <v>596</v>
      </c>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c r="AA219" s="270"/>
      <c r="AB219" s="270"/>
      <c r="AC219" s="270"/>
      <c r="AD219" s="270"/>
      <c r="AE219" s="270"/>
      <c r="AF219" s="270"/>
      <c r="AG219" s="270"/>
      <c r="AH219" s="270"/>
      <c r="AI219" s="270"/>
      <c r="AJ219" s="270"/>
      <c r="AK219" s="270"/>
      <c r="AL219" s="270"/>
      <c r="AM219" s="270"/>
      <c r="AN219" s="270"/>
      <c r="AO219" s="270"/>
      <c r="AP219" s="270"/>
      <c r="AQ219" s="270"/>
      <c r="AR219" s="270"/>
      <c r="AS219" s="270"/>
      <c r="AT219" s="270"/>
      <c r="AU219" s="270"/>
      <c r="AV219" s="270"/>
      <c r="AW219" s="270"/>
      <c r="AX219" s="270"/>
      <c r="AY219" s="270"/>
      <c r="AZ219" s="270"/>
      <c r="BA219" s="270"/>
      <c r="BB219" s="270"/>
      <c r="BC219" s="270"/>
      <c r="BD219" s="270"/>
      <c r="BE219" s="270"/>
      <c r="BF219" s="270"/>
      <c r="BG219" s="270"/>
      <c r="BH219" s="270"/>
      <c r="BI219" s="270"/>
      <c r="BJ219" s="270"/>
      <c r="BK219" s="270"/>
      <c r="BL219" s="270"/>
      <c r="BM219" s="270"/>
      <c r="BN219" s="270"/>
      <c r="BO219" s="270"/>
      <c r="BP219" s="270"/>
      <c r="BQ219" s="270"/>
      <c r="BR219" s="270"/>
      <c r="BS219" s="270"/>
    </row>
    <row r="220" spans="1:71" x14ac:dyDescent="0.3">
      <c r="A220" s="270"/>
      <c r="B220" s="270">
        <v>570</v>
      </c>
      <c r="C220" s="270"/>
      <c r="D220" s="270" t="s">
        <v>597</v>
      </c>
      <c r="E220" s="270"/>
      <c r="F220" s="270"/>
      <c r="G220" s="270"/>
      <c r="H220" s="270"/>
      <c r="I220" s="270"/>
      <c r="J220" s="270"/>
      <c r="K220" s="270"/>
      <c r="L220" s="270"/>
      <c r="M220" s="270"/>
      <c r="N220" s="270"/>
      <c r="O220" s="270"/>
      <c r="P220" s="270"/>
      <c r="Q220" s="270"/>
      <c r="R220" s="270"/>
      <c r="S220" s="270"/>
      <c r="T220" s="270"/>
      <c r="U220" s="270"/>
      <c r="V220" s="270"/>
      <c r="W220" s="270"/>
      <c r="X220" s="270"/>
      <c r="Y220" s="270"/>
      <c r="Z220" s="270"/>
      <c r="AA220" s="270"/>
      <c r="AB220" s="270"/>
      <c r="AC220" s="270"/>
      <c r="AD220" s="270"/>
      <c r="AE220" s="270"/>
      <c r="AF220" s="270"/>
      <c r="AG220" s="270"/>
      <c r="AH220" s="270"/>
      <c r="AI220" s="270"/>
      <c r="AJ220" s="270"/>
      <c r="AK220" s="270"/>
      <c r="AL220" s="270"/>
      <c r="AM220" s="270"/>
      <c r="AN220" s="270"/>
      <c r="AO220" s="270"/>
      <c r="AP220" s="270"/>
      <c r="AQ220" s="270"/>
      <c r="AR220" s="270"/>
      <c r="AS220" s="270"/>
      <c r="AT220" s="270"/>
      <c r="AU220" s="270"/>
      <c r="AV220" s="270"/>
      <c r="AW220" s="270"/>
      <c r="AX220" s="270"/>
      <c r="AY220" s="270"/>
      <c r="AZ220" s="270"/>
      <c r="BA220" s="270"/>
      <c r="BB220" s="270"/>
      <c r="BC220" s="270"/>
      <c r="BD220" s="270"/>
      <c r="BE220" s="270"/>
      <c r="BF220" s="270"/>
      <c r="BG220" s="270"/>
      <c r="BH220" s="270"/>
      <c r="BI220" s="270"/>
      <c r="BJ220" s="270"/>
      <c r="BK220" s="270"/>
      <c r="BL220" s="270"/>
      <c r="BM220" s="270"/>
      <c r="BN220" s="270"/>
      <c r="BO220" s="270"/>
      <c r="BP220" s="270"/>
      <c r="BQ220" s="270"/>
      <c r="BR220" s="270"/>
      <c r="BS220" s="270"/>
    </row>
    <row r="221" spans="1:71" x14ac:dyDescent="0.3">
      <c r="A221" s="270"/>
      <c r="B221" s="270">
        <v>571</v>
      </c>
      <c r="C221" s="270"/>
      <c r="D221" s="270" t="s">
        <v>598</v>
      </c>
      <c r="E221" s="270"/>
      <c r="F221" s="270"/>
      <c r="G221" s="270"/>
      <c r="H221" s="270"/>
      <c r="I221" s="270"/>
      <c r="J221" s="270"/>
      <c r="K221" s="270"/>
      <c r="L221" s="270"/>
      <c r="M221" s="270"/>
      <c r="N221" s="270"/>
      <c r="O221" s="270"/>
      <c r="P221" s="270"/>
      <c r="Q221" s="270"/>
      <c r="R221" s="270"/>
      <c r="S221" s="270"/>
      <c r="T221" s="270"/>
      <c r="U221" s="270"/>
      <c r="V221" s="270"/>
      <c r="W221" s="270"/>
      <c r="X221" s="270"/>
      <c r="Y221" s="270"/>
      <c r="Z221" s="270"/>
      <c r="AA221" s="270"/>
      <c r="AB221" s="270"/>
      <c r="AC221" s="270"/>
      <c r="AD221" s="270"/>
      <c r="AE221" s="270"/>
      <c r="AF221" s="270"/>
      <c r="AG221" s="270"/>
      <c r="AH221" s="270"/>
      <c r="AI221" s="270"/>
      <c r="AJ221" s="270"/>
      <c r="AK221" s="270"/>
      <c r="AL221" s="270"/>
      <c r="AM221" s="270"/>
      <c r="AN221" s="270"/>
      <c r="AO221" s="270"/>
      <c r="AP221" s="270"/>
      <c r="AQ221" s="270"/>
      <c r="AR221" s="270"/>
      <c r="AS221" s="270"/>
      <c r="AT221" s="270"/>
      <c r="AU221" s="270"/>
      <c r="AV221" s="270"/>
      <c r="AW221" s="270"/>
      <c r="AX221" s="270"/>
      <c r="AY221" s="270"/>
      <c r="AZ221" s="270"/>
      <c r="BA221" s="270"/>
      <c r="BB221" s="270"/>
      <c r="BC221" s="270"/>
      <c r="BD221" s="270"/>
      <c r="BE221" s="270"/>
      <c r="BF221" s="270"/>
      <c r="BG221" s="270"/>
      <c r="BH221" s="270"/>
      <c r="BI221" s="270"/>
      <c r="BJ221" s="270"/>
      <c r="BK221" s="270"/>
      <c r="BL221" s="270"/>
      <c r="BM221" s="270"/>
      <c r="BN221" s="270"/>
      <c r="BO221" s="270"/>
      <c r="BP221" s="270"/>
      <c r="BQ221" s="270"/>
      <c r="BR221" s="270"/>
      <c r="BS221" s="270"/>
    </row>
    <row r="222" spans="1:71" x14ac:dyDescent="0.3">
      <c r="A222" s="270"/>
      <c r="B222" s="270">
        <v>572</v>
      </c>
      <c r="C222" s="270"/>
      <c r="D222" s="270" t="s">
        <v>599</v>
      </c>
      <c r="E222" s="270"/>
      <c r="F222" s="270"/>
      <c r="G222" s="270"/>
      <c r="H222" s="270"/>
      <c r="I222" s="270"/>
      <c r="J222" s="270"/>
      <c r="K222" s="270"/>
      <c r="L222" s="270"/>
      <c r="M222" s="270"/>
      <c r="N222" s="270"/>
      <c r="O222" s="270"/>
      <c r="P222" s="270"/>
      <c r="Q222" s="270"/>
      <c r="R222" s="270"/>
      <c r="S222" s="270"/>
      <c r="T222" s="270"/>
      <c r="U222" s="270"/>
      <c r="V222" s="270"/>
      <c r="W222" s="270"/>
      <c r="X222" s="270"/>
      <c r="Y222" s="270"/>
      <c r="Z222" s="270"/>
      <c r="AA222" s="270"/>
      <c r="AB222" s="270"/>
      <c r="AC222" s="270"/>
      <c r="AD222" s="270"/>
      <c r="AE222" s="270"/>
      <c r="AF222" s="270"/>
      <c r="AG222" s="270"/>
      <c r="AH222" s="270"/>
      <c r="AI222" s="270"/>
      <c r="AJ222" s="270"/>
      <c r="AK222" s="270"/>
      <c r="AL222" s="270"/>
      <c r="AM222" s="270"/>
      <c r="AN222" s="270"/>
      <c r="AO222" s="270"/>
      <c r="AP222" s="270"/>
      <c r="AQ222" s="270"/>
      <c r="AR222" s="270"/>
      <c r="AS222" s="270"/>
      <c r="AT222" s="270"/>
      <c r="AU222" s="270"/>
      <c r="AV222" s="270"/>
      <c r="AW222" s="270"/>
      <c r="AX222" s="270"/>
      <c r="AY222" s="270"/>
      <c r="AZ222" s="270"/>
      <c r="BA222" s="270"/>
      <c r="BB222" s="270"/>
      <c r="BC222" s="270"/>
      <c r="BD222" s="270"/>
      <c r="BE222" s="270"/>
      <c r="BF222" s="270"/>
      <c r="BG222" s="270"/>
      <c r="BH222" s="270"/>
      <c r="BI222" s="270"/>
      <c r="BJ222" s="270"/>
      <c r="BK222" s="270"/>
      <c r="BL222" s="270"/>
      <c r="BM222" s="270"/>
      <c r="BN222" s="270"/>
      <c r="BO222" s="270"/>
      <c r="BP222" s="270"/>
      <c r="BQ222" s="270"/>
      <c r="BR222" s="270"/>
      <c r="BS222" s="270"/>
    </row>
    <row r="223" spans="1:71" x14ac:dyDescent="0.3">
      <c r="A223" s="270"/>
      <c r="B223" s="270">
        <v>573</v>
      </c>
      <c r="C223" s="270"/>
      <c r="D223" s="270" t="s">
        <v>600</v>
      </c>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c r="AA223" s="270"/>
      <c r="AB223" s="270"/>
      <c r="AC223" s="270"/>
      <c r="AD223" s="270"/>
      <c r="AE223" s="270"/>
      <c r="AF223" s="270"/>
      <c r="AG223" s="270"/>
      <c r="AH223" s="270"/>
      <c r="AI223" s="270"/>
      <c r="AJ223" s="270"/>
      <c r="AK223" s="270"/>
      <c r="AL223" s="270"/>
      <c r="AM223" s="270"/>
      <c r="AN223" s="270"/>
      <c r="AO223" s="270"/>
      <c r="AP223" s="270"/>
      <c r="AQ223" s="270"/>
      <c r="AR223" s="270"/>
      <c r="AS223" s="270"/>
      <c r="AT223" s="270"/>
      <c r="AU223" s="270"/>
      <c r="AV223" s="270"/>
      <c r="AW223" s="270"/>
      <c r="AX223" s="270"/>
      <c r="AY223" s="270"/>
      <c r="AZ223" s="270"/>
      <c r="BA223" s="270"/>
      <c r="BB223" s="270"/>
      <c r="BC223" s="270"/>
      <c r="BD223" s="270"/>
      <c r="BE223" s="270"/>
      <c r="BF223" s="270"/>
      <c r="BG223" s="270"/>
      <c r="BH223" s="270"/>
      <c r="BI223" s="270"/>
      <c r="BJ223" s="270"/>
      <c r="BK223" s="270"/>
      <c r="BL223" s="270"/>
      <c r="BM223" s="270"/>
      <c r="BN223" s="270"/>
      <c r="BO223" s="270"/>
      <c r="BP223" s="270"/>
      <c r="BQ223" s="270"/>
      <c r="BR223" s="270"/>
      <c r="BS223" s="270"/>
    </row>
    <row r="224" spans="1:71" x14ac:dyDescent="0.3">
      <c r="A224" s="270"/>
      <c r="B224" s="270">
        <v>574</v>
      </c>
      <c r="C224" s="270"/>
      <c r="D224" s="270" t="s">
        <v>601</v>
      </c>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c r="AB224" s="270"/>
      <c r="AC224" s="270"/>
      <c r="AD224" s="270"/>
      <c r="AE224" s="270"/>
      <c r="AF224" s="270"/>
      <c r="AG224" s="270"/>
      <c r="AH224" s="270"/>
      <c r="AI224" s="270"/>
      <c r="AJ224" s="270"/>
      <c r="AK224" s="270"/>
      <c r="AL224" s="270"/>
      <c r="AM224" s="270"/>
      <c r="AN224" s="270"/>
      <c r="AO224" s="270"/>
      <c r="AP224" s="270"/>
      <c r="AQ224" s="270"/>
      <c r="AR224" s="270"/>
      <c r="AS224" s="270"/>
      <c r="AT224" s="270"/>
      <c r="AU224" s="270"/>
      <c r="AV224" s="270"/>
      <c r="AW224" s="270"/>
      <c r="AX224" s="270"/>
      <c r="AY224" s="270"/>
      <c r="AZ224" s="270"/>
      <c r="BA224" s="270"/>
      <c r="BB224" s="270"/>
      <c r="BC224" s="270"/>
      <c r="BD224" s="270"/>
      <c r="BE224" s="270"/>
      <c r="BF224" s="270"/>
      <c r="BG224" s="270"/>
      <c r="BH224" s="270"/>
      <c r="BI224" s="270"/>
      <c r="BJ224" s="270"/>
      <c r="BK224" s="270"/>
      <c r="BL224" s="270"/>
      <c r="BM224" s="270"/>
      <c r="BN224" s="270"/>
      <c r="BO224" s="270"/>
      <c r="BP224" s="270"/>
      <c r="BQ224" s="270"/>
      <c r="BR224" s="270"/>
      <c r="BS224" s="270"/>
    </row>
    <row r="225" spans="1:95" x14ac:dyDescent="0.3">
      <c r="A225" s="270">
        <v>575</v>
      </c>
      <c r="B225" s="270">
        <v>575</v>
      </c>
      <c r="C225" s="270" t="s">
        <v>546</v>
      </c>
      <c r="D225" s="270" t="s">
        <v>642</v>
      </c>
      <c r="E225" s="270">
        <v>0</v>
      </c>
      <c r="F225" s="270">
        <v>2798</v>
      </c>
      <c r="G225" s="270">
        <v>0</v>
      </c>
      <c r="H225" s="270">
        <v>0</v>
      </c>
      <c r="I225" s="270">
        <v>0</v>
      </c>
      <c r="J225" s="1112">
        <v>120673</v>
      </c>
      <c r="K225" s="270">
        <v>2722758</v>
      </c>
      <c r="L225" s="1112">
        <v>0</v>
      </c>
      <c r="M225" s="270">
        <v>0</v>
      </c>
      <c r="N225" s="270">
        <v>0</v>
      </c>
      <c r="O225" s="270">
        <v>8314</v>
      </c>
      <c r="P225" s="270">
        <v>0</v>
      </c>
      <c r="Q225" s="1112">
        <v>39950</v>
      </c>
      <c r="R225" s="270">
        <v>0</v>
      </c>
      <c r="S225" s="270">
        <v>0</v>
      </c>
      <c r="T225" s="270">
        <v>0</v>
      </c>
      <c r="U225" s="270">
        <v>36408</v>
      </c>
      <c r="V225" s="1112">
        <v>0</v>
      </c>
      <c r="W225" s="270">
        <v>1900</v>
      </c>
      <c r="X225" s="270">
        <v>0</v>
      </c>
      <c r="Y225" s="1112">
        <v>0</v>
      </c>
      <c r="Z225" s="270">
        <v>0</v>
      </c>
      <c r="AA225" s="270">
        <v>0</v>
      </c>
      <c r="AB225" s="270">
        <v>0</v>
      </c>
      <c r="AC225" s="270">
        <v>318032</v>
      </c>
      <c r="AD225" s="270">
        <v>25286</v>
      </c>
      <c r="AE225" s="1112">
        <v>261661</v>
      </c>
      <c r="AF225" s="270">
        <v>0</v>
      </c>
      <c r="AG225" s="270">
        <v>0</v>
      </c>
      <c r="AH225" s="270">
        <v>0</v>
      </c>
      <c r="AI225" s="270">
        <v>0</v>
      </c>
      <c r="AJ225" s="1112">
        <v>754395</v>
      </c>
      <c r="AK225" s="270">
        <v>0</v>
      </c>
      <c r="AL225" s="270">
        <v>0</v>
      </c>
      <c r="AM225" s="270">
        <v>0</v>
      </c>
      <c r="AN225" s="270">
        <v>2397</v>
      </c>
      <c r="AO225" s="270">
        <v>0</v>
      </c>
      <c r="AP225" s="270">
        <v>0</v>
      </c>
      <c r="AQ225" s="270">
        <v>363600</v>
      </c>
      <c r="AR225" s="1112">
        <v>0</v>
      </c>
      <c r="AS225" s="270">
        <v>0</v>
      </c>
      <c r="AT225" s="270">
        <v>0</v>
      </c>
      <c r="AU225" s="270">
        <v>0</v>
      </c>
      <c r="AV225" s="270">
        <v>0</v>
      </c>
      <c r="AW225" s="270">
        <v>0</v>
      </c>
      <c r="AX225" s="270">
        <v>0</v>
      </c>
      <c r="AY225" s="270">
        <v>0</v>
      </c>
      <c r="AZ225" s="270">
        <v>0</v>
      </c>
      <c r="BA225" s="270">
        <v>0</v>
      </c>
      <c r="BB225" s="270">
        <v>0</v>
      </c>
      <c r="BC225" s="270">
        <v>0</v>
      </c>
      <c r="BD225" s="270">
        <v>0</v>
      </c>
      <c r="BE225" s="270">
        <v>0</v>
      </c>
      <c r="BF225" s="270">
        <v>32496</v>
      </c>
      <c r="BG225" s="1112">
        <v>63235</v>
      </c>
      <c r="BH225" s="270">
        <v>0</v>
      </c>
      <c r="BI225" s="270">
        <v>0</v>
      </c>
      <c r="BJ225" s="1112">
        <v>0</v>
      </c>
      <c r="BK225" s="1112">
        <v>0</v>
      </c>
      <c r="BL225" s="270">
        <v>0</v>
      </c>
      <c r="BM225" s="270">
        <v>0</v>
      </c>
      <c r="BN225" s="270">
        <v>0</v>
      </c>
      <c r="BO225" s="1112">
        <v>0</v>
      </c>
      <c r="BP225" s="270">
        <v>0</v>
      </c>
      <c r="BQ225" s="1112">
        <v>0</v>
      </c>
      <c r="BR225" s="270">
        <v>0</v>
      </c>
      <c r="BS225" s="1112">
        <v>0</v>
      </c>
      <c r="BT225" s="298">
        <v>0</v>
      </c>
      <c r="BU225" s="298">
        <v>0</v>
      </c>
      <c r="BV225" s="298">
        <v>0</v>
      </c>
      <c r="BW225" s="298">
        <v>0</v>
      </c>
      <c r="BX225" s="298">
        <v>85028</v>
      </c>
      <c r="BY225" s="298">
        <v>0</v>
      </c>
      <c r="BZ225" s="298">
        <v>0</v>
      </c>
      <c r="CA225" s="298">
        <v>0</v>
      </c>
      <c r="CB225" s="298">
        <v>0</v>
      </c>
      <c r="CC225" s="298">
        <v>1128464</v>
      </c>
      <c r="CD225" s="298">
        <v>0</v>
      </c>
      <c r="CE225" s="298">
        <v>0</v>
      </c>
      <c r="CF225" s="298">
        <v>0</v>
      </c>
      <c r="CG225" s="298">
        <v>0</v>
      </c>
      <c r="CH225" s="298">
        <v>0</v>
      </c>
      <c r="CI225" s="298">
        <v>0</v>
      </c>
      <c r="CJ225" s="298">
        <v>133753</v>
      </c>
      <c r="CK225" s="298">
        <v>0</v>
      </c>
      <c r="CL225" s="298">
        <v>0</v>
      </c>
      <c r="CM225" s="298">
        <v>0</v>
      </c>
      <c r="CN225" s="298">
        <v>0</v>
      </c>
      <c r="CO225" s="298">
        <v>0</v>
      </c>
      <c r="CP225" s="298">
        <v>0</v>
      </c>
      <c r="CQ225" s="298">
        <v>0</v>
      </c>
    </row>
    <row r="226" spans="1:95" x14ac:dyDescent="0.3">
      <c r="A226" s="270">
        <v>576</v>
      </c>
      <c r="B226" s="270">
        <v>576</v>
      </c>
      <c r="C226" s="270" t="s">
        <v>547</v>
      </c>
      <c r="D226" s="270" t="s">
        <v>643</v>
      </c>
      <c r="E226" s="270">
        <v>0</v>
      </c>
      <c r="F226" s="1112">
        <v>0</v>
      </c>
      <c r="G226" s="270">
        <v>0</v>
      </c>
      <c r="H226" s="1112">
        <v>90542</v>
      </c>
      <c r="I226" s="270">
        <v>0</v>
      </c>
      <c r="J226" s="270">
        <v>0</v>
      </c>
      <c r="K226" s="270">
        <v>0</v>
      </c>
      <c r="L226" s="270">
        <v>0</v>
      </c>
      <c r="M226" s="1112">
        <v>0</v>
      </c>
      <c r="N226" s="270">
        <v>12970</v>
      </c>
      <c r="O226" s="270">
        <v>0</v>
      </c>
      <c r="P226" s="270">
        <v>0</v>
      </c>
      <c r="Q226" s="270">
        <v>0</v>
      </c>
      <c r="R226" s="270">
        <v>0</v>
      </c>
      <c r="S226" s="270">
        <v>0</v>
      </c>
      <c r="T226" s="270">
        <v>0</v>
      </c>
      <c r="U226" s="270">
        <v>0</v>
      </c>
      <c r="V226" s="270">
        <v>0</v>
      </c>
      <c r="W226" s="270">
        <v>0</v>
      </c>
      <c r="X226" s="270">
        <v>0</v>
      </c>
      <c r="Y226" s="270">
        <v>0</v>
      </c>
      <c r="Z226" s="270">
        <v>0</v>
      </c>
      <c r="AA226" s="1112">
        <v>0</v>
      </c>
      <c r="AB226" s="270">
        <v>0</v>
      </c>
      <c r="AC226" s="270">
        <v>0</v>
      </c>
      <c r="AD226" s="270">
        <v>0</v>
      </c>
      <c r="AE226" s="270">
        <v>0</v>
      </c>
      <c r="AF226" s="270">
        <v>0</v>
      </c>
      <c r="AG226" s="270">
        <v>0</v>
      </c>
      <c r="AH226" s="270">
        <v>0</v>
      </c>
      <c r="AI226" s="270">
        <v>0</v>
      </c>
      <c r="AJ226" s="270">
        <v>0</v>
      </c>
      <c r="AK226" s="270">
        <v>0</v>
      </c>
      <c r="AL226" s="270">
        <v>67668</v>
      </c>
      <c r="AM226" s="270">
        <v>0</v>
      </c>
      <c r="AN226" s="270">
        <v>0</v>
      </c>
      <c r="AO226" s="270">
        <v>0</v>
      </c>
      <c r="AP226" s="270">
        <v>0</v>
      </c>
      <c r="AQ226" s="270">
        <v>0</v>
      </c>
      <c r="AR226" s="270">
        <v>0</v>
      </c>
      <c r="AS226" s="270">
        <v>0</v>
      </c>
      <c r="AT226" s="270">
        <v>0</v>
      </c>
      <c r="AU226" s="270">
        <v>0</v>
      </c>
      <c r="AV226" s="270">
        <v>0</v>
      </c>
      <c r="AW226" s="1112">
        <v>0</v>
      </c>
      <c r="AX226" s="270">
        <v>0</v>
      </c>
      <c r="AY226" s="270">
        <v>0</v>
      </c>
      <c r="AZ226" s="270">
        <v>5000</v>
      </c>
      <c r="BA226" s="270">
        <v>900000</v>
      </c>
      <c r="BB226" s="270">
        <v>0</v>
      </c>
      <c r="BC226" s="270">
        <v>0</v>
      </c>
      <c r="BD226" s="270">
        <v>13617</v>
      </c>
      <c r="BE226" s="270">
        <v>0</v>
      </c>
      <c r="BF226" s="1112">
        <v>0</v>
      </c>
      <c r="BG226" s="270">
        <v>0</v>
      </c>
      <c r="BH226" s="270">
        <v>0</v>
      </c>
      <c r="BI226" s="270">
        <v>0</v>
      </c>
      <c r="BJ226" s="270">
        <v>0</v>
      </c>
      <c r="BK226" s="270">
        <v>0</v>
      </c>
      <c r="BL226" s="270">
        <v>206496</v>
      </c>
      <c r="BM226" s="270">
        <v>0</v>
      </c>
      <c r="BN226" s="270">
        <v>0</v>
      </c>
      <c r="BO226" s="270">
        <v>0</v>
      </c>
      <c r="BP226" s="270">
        <v>0</v>
      </c>
      <c r="BQ226" s="270">
        <v>0</v>
      </c>
      <c r="BR226" s="270">
        <v>0</v>
      </c>
      <c r="BS226" s="270">
        <v>0</v>
      </c>
      <c r="BT226" s="298">
        <v>0</v>
      </c>
      <c r="BU226" s="298">
        <v>0</v>
      </c>
      <c r="BV226" s="298">
        <v>0</v>
      </c>
      <c r="BW226" s="298">
        <v>0</v>
      </c>
      <c r="BX226" s="298">
        <v>0</v>
      </c>
      <c r="BY226" s="298">
        <v>0</v>
      </c>
      <c r="BZ226" s="298">
        <v>0</v>
      </c>
      <c r="CA226" s="298">
        <v>22614</v>
      </c>
      <c r="CB226" s="298">
        <v>0</v>
      </c>
      <c r="CC226" s="298">
        <v>0</v>
      </c>
      <c r="CD226" s="298">
        <v>0</v>
      </c>
      <c r="CE226" s="298">
        <v>360234</v>
      </c>
      <c r="CF226" s="298">
        <v>0</v>
      </c>
      <c r="CG226" s="298">
        <v>0</v>
      </c>
      <c r="CH226" s="298">
        <v>0</v>
      </c>
      <c r="CI226" s="298">
        <v>0</v>
      </c>
      <c r="CJ226" s="298">
        <v>0</v>
      </c>
      <c r="CK226" s="298">
        <v>0</v>
      </c>
      <c r="CL226" s="298">
        <v>0</v>
      </c>
      <c r="CM226" s="298">
        <v>0</v>
      </c>
      <c r="CN226" s="298">
        <v>0</v>
      </c>
      <c r="CO226" s="298">
        <v>0</v>
      </c>
      <c r="CP226" s="298">
        <v>0</v>
      </c>
      <c r="CQ226" s="298">
        <v>0</v>
      </c>
    </row>
    <row r="227" spans="1:95" x14ac:dyDescent="0.3">
      <c r="A227" s="270">
        <v>577</v>
      </c>
      <c r="B227" s="270">
        <v>577</v>
      </c>
      <c r="C227" s="270" t="s">
        <v>644</v>
      </c>
      <c r="D227" s="270" t="s">
        <v>645</v>
      </c>
      <c r="E227" s="270">
        <v>2</v>
      </c>
      <c r="F227" s="270">
        <v>2</v>
      </c>
      <c r="G227" s="270">
        <v>2</v>
      </c>
      <c r="H227" s="270">
        <v>2</v>
      </c>
      <c r="I227" s="270">
        <v>2</v>
      </c>
      <c r="J227" s="270">
        <v>2</v>
      </c>
      <c r="K227" s="270">
        <v>2</v>
      </c>
      <c r="L227" s="270">
        <v>2</v>
      </c>
      <c r="M227" s="270">
        <v>2</v>
      </c>
      <c r="N227" s="270">
        <v>2</v>
      </c>
      <c r="O227" s="270">
        <v>2</v>
      </c>
      <c r="P227" s="270">
        <v>2</v>
      </c>
      <c r="Q227" s="270">
        <v>2</v>
      </c>
      <c r="R227" s="270">
        <v>2</v>
      </c>
      <c r="S227" s="270">
        <v>2</v>
      </c>
      <c r="T227" s="270">
        <v>2</v>
      </c>
      <c r="U227" s="270">
        <v>2</v>
      </c>
      <c r="V227" s="270">
        <v>2</v>
      </c>
      <c r="W227" s="270">
        <v>0</v>
      </c>
      <c r="X227" s="270">
        <v>2</v>
      </c>
      <c r="Y227" s="270">
        <v>2</v>
      </c>
      <c r="Z227" s="270">
        <v>2</v>
      </c>
      <c r="AA227" s="270">
        <v>2</v>
      </c>
      <c r="AB227" s="270">
        <v>2</v>
      </c>
      <c r="AC227" s="270">
        <v>0</v>
      </c>
      <c r="AD227" s="270">
        <v>2</v>
      </c>
      <c r="AE227" s="270">
        <v>2</v>
      </c>
      <c r="AF227" s="270">
        <v>2</v>
      </c>
      <c r="AG227" s="270">
        <v>2</v>
      </c>
      <c r="AH227" s="270">
        <v>1</v>
      </c>
      <c r="AI227" s="270">
        <v>2</v>
      </c>
      <c r="AJ227" s="270">
        <v>2</v>
      </c>
      <c r="AK227" s="270">
        <v>2</v>
      </c>
      <c r="AL227" s="270">
        <v>2</v>
      </c>
      <c r="AM227" s="270">
        <v>0</v>
      </c>
      <c r="AN227" s="270">
        <v>2</v>
      </c>
      <c r="AO227" s="270">
        <v>2</v>
      </c>
      <c r="AP227" s="270">
        <v>2</v>
      </c>
      <c r="AQ227" s="270">
        <v>1</v>
      </c>
      <c r="AR227" s="270">
        <v>0</v>
      </c>
      <c r="AS227" s="270">
        <v>2</v>
      </c>
      <c r="AT227" s="270">
        <v>2</v>
      </c>
      <c r="AU227" s="270">
        <v>2</v>
      </c>
      <c r="AV227" s="270">
        <v>2</v>
      </c>
      <c r="AW227" s="270">
        <v>2</v>
      </c>
      <c r="AX227" s="270">
        <v>2</v>
      </c>
      <c r="AY227" s="270">
        <v>2</v>
      </c>
      <c r="AZ227" s="270">
        <v>2</v>
      </c>
      <c r="BA227" s="270">
        <v>2</v>
      </c>
      <c r="BB227" s="270">
        <v>2</v>
      </c>
      <c r="BC227" s="270">
        <v>2</v>
      </c>
      <c r="BD227" s="270">
        <v>1</v>
      </c>
      <c r="BE227" s="270">
        <v>2</v>
      </c>
      <c r="BF227" s="270">
        <v>2</v>
      </c>
      <c r="BG227" s="270">
        <v>2</v>
      </c>
      <c r="BH227" s="270">
        <v>2</v>
      </c>
      <c r="BI227" s="270">
        <v>2</v>
      </c>
      <c r="BJ227" s="270">
        <v>2</v>
      </c>
      <c r="BK227" s="270">
        <v>2</v>
      </c>
      <c r="BL227" s="270">
        <v>2</v>
      </c>
      <c r="BM227" s="270">
        <v>2</v>
      </c>
      <c r="BN227" s="270">
        <v>2</v>
      </c>
      <c r="BO227" s="270">
        <v>0</v>
      </c>
      <c r="BP227" s="270">
        <v>2</v>
      </c>
      <c r="BQ227" s="270">
        <v>2</v>
      </c>
      <c r="BR227" s="270">
        <v>0</v>
      </c>
      <c r="BS227" s="270">
        <v>0</v>
      </c>
      <c r="BT227" s="298">
        <v>2</v>
      </c>
      <c r="BU227" s="298">
        <v>2</v>
      </c>
      <c r="BV227" s="298">
        <v>2</v>
      </c>
      <c r="BW227" s="298">
        <v>2</v>
      </c>
      <c r="BX227" s="298">
        <v>2</v>
      </c>
      <c r="BY227" s="298">
        <v>2</v>
      </c>
      <c r="BZ227" s="298">
        <v>0</v>
      </c>
      <c r="CA227" s="298">
        <v>1</v>
      </c>
      <c r="CB227" s="298">
        <v>2</v>
      </c>
      <c r="CC227" s="298">
        <v>2</v>
      </c>
      <c r="CD227" s="298">
        <v>2</v>
      </c>
      <c r="CE227" s="298">
        <v>2</v>
      </c>
      <c r="CF227" s="298">
        <v>2</v>
      </c>
      <c r="CG227" s="298">
        <v>2</v>
      </c>
      <c r="CH227" s="298">
        <v>1</v>
      </c>
      <c r="CI227" s="298">
        <v>2</v>
      </c>
      <c r="CJ227" s="298">
        <v>0</v>
      </c>
      <c r="CK227" s="298">
        <v>2</v>
      </c>
      <c r="CL227" s="298">
        <v>2</v>
      </c>
      <c r="CM227" s="298">
        <v>2</v>
      </c>
      <c r="CN227" s="298">
        <v>2</v>
      </c>
      <c r="CO227" s="298">
        <v>2</v>
      </c>
      <c r="CP227" s="298">
        <v>2</v>
      </c>
      <c r="CQ227" s="298">
        <v>2</v>
      </c>
    </row>
    <row r="228" spans="1:95" x14ac:dyDescent="0.3">
      <c r="A228" s="270">
        <v>578</v>
      </c>
      <c r="B228" s="270">
        <v>578</v>
      </c>
      <c r="C228" s="270" t="s">
        <v>646</v>
      </c>
      <c r="D228" s="270" t="s">
        <v>647</v>
      </c>
      <c r="E228" s="270">
        <v>0</v>
      </c>
      <c r="F228" s="270">
        <v>0</v>
      </c>
      <c r="G228" s="270">
        <v>0</v>
      </c>
      <c r="H228" s="270">
        <v>0</v>
      </c>
      <c r="I228" s="270">
        <v>0</v>
      </c>
      <c r="J228" s="1112">
        <v>0</v>
      </c>
      <c r="K228" s="270">
        <v>0</v>
      </c>
      <c r="L228" s="270">
        <v>0</v>
      </c>
      <c r="M228" s="270">
        <v>0</v>
      </c>
      <c r="N228" s="270">
        <v>0</v>
      </c>
      <c r="O228" s="270">
        <v>0</v>
      </c>
      <c r="P228" s="270">
        <v>0</v>
      </c>
      <c r="Q228" s="270">
        <v>39950</v>
      </c>
      <c r="R228" s="270">
        <v>0</v>
      </c>
      <c r="S228" s="270">
        <v>0</v>
      </c>
      <c r="T228" s="270">
        <v>0</v>
      </c>
      <c r="U228" s="270">
        <v>0</v>
      </c>
      <c r="V228" s="270">
        <v>0</v>
      </c>
      <c r="W228" s="270">
        <v>0</v>
      </c>
      <c r="X228" s="270">
        <v>0</v>
      </c>
      <c r="Y228" s="270">
        <v>0</v>
      </c>
      <c r="Z228" s="270">
        <v>0</v>
      </c>
      <c r="AA228" s="270">
        <v>0</v>
      </c>
      <c r="AB228" s="270">
        <v>0</v>
      </c>
      <c r="AC228" s="270">
        <v>0</v>
      </c>
      <c r="AD228" s="270">
        <v>0</v>
      </c>
      <c r="AE228" s="270">
        <v>0</v>
      </c>
      <c r="AF228" s="270">
        <v>0</v>
      </c>
      <c r="AG228" s="270">
        <v>0</v>
      </c>
      <c r="AH228" s="270">
        <v>0</v>
      </c>
      <c r="AI228" s="270">
        <v>0</v>
      </c>
      <c r="AJ228" s="270">
        <v>0</v>
      </c>
      <c r="AK228" s="270">
        <v>0</v>
      </c>
      <c r="AL228" s="270">
        <v>0</v>
      </c>
      <c r="AM228" s="270">
        <v>0</v>
      </c>
      <c r="AN228" s="270">
        <v>0</v>
      </c>
      <c r="AO228" s="270">
        <v>0</v>
      </c>
      <c r="AP228" s="270">
        <v>0</v>
      </c>
      <c r="AQ228" s="270">
        <v>0</v>
      </c>
      <c r="AR228" s="270">
        <v>0</v>
      </c>
      <c r="AS228" s="270">
        <v>0</v>
      </c>
      <c r="AT228" s="270">
        <v>0</v>
      </c>
      <c r="AU228" s="270">
        <v>0</v>
      </c>
      <c r="AV228" s="270">
        <v>0</v>
      </c>
      <c r="AW228" s="270">
        <v>0</v>
      </c>
      <c r="AX228" s="270">
        <v>0</v>
      </c>
      <c r="AY228" s="270">
        <v>0</v>
      </c>
      <c r="AZ228" s="270">
        <v>0</v>
      </c>
      <c r="BA228" s="270">
        <v>0</v>
      </c>
      <c r="BB228" s="270">
        <v>0</v>
      </c>
      <c r="BC228" s="270">
        <v>0</v>
      </c>
      <c r="BD228" s="270">
        <v>0</v>
      </c>
      <c r="BE228" s="270">
        <v>0</v>
      </c>
      <c r="BF228" s="270">
        <v>0</v>
      </c>
      <c r="BG228" s="270">
        <v>0</v>
      </c>
      <c r="BH228" s="270">
        <v>0</v>
      </c>
      <c r="BI228" s="270">
        <v>0</v>
      </c>
      <c r="BJ228" s="270">
        <v>0</v>
      </c>
      <c r="BK228" s="1112">
        <v>0</v>
      </c>
      <c r="BL228" s="270">
        <v>0</v>
      </c>
      <c r="BM228" s="270">
        <v>0</v>
      </c>
      <c r="BN228" s="270">
        <v>0</v>
      </c>
      <c r="BO228" s="270">
        <v>0</v>
      </c>
      <c r="BP228" s="270">
        <v>0</v>
      </c>
      <c r="BQ228" s="270">
        <v>0</v>
      </c>
      <c r="BR228" s="270">
        <v>0</v>
      </c>
      <c r="BS228" s="270">
        <v>0</v>
      </c>
      <c r="BT228" s="298">
        <v>0</v>
      </c>
      <c r="BU228" s="298">
        <v>0</v>
      </c>
      <c r="BV228" s="298">
        <v>0</v>
      </c>
      <c r="BW228" s="298">
        <v>0</v>
      </c>
      <c r="BX228" s="298">
        <v>0</v>
      </c>
      <c r="BY228" s="298">
        <v>0</v>
      </c>
      <c r="BZ228" s="298">
        <v>0</v>
      </c>
      <c r="CA228" s="298">
        <v>0</v>
      </c>
      <c r="CB228" s="298">
        <v>0</v>
      </c>
      <c r="CC228" s="298">
        <v>0</v>
      </c>
      <c r="CD228" s="298">
        <v>0</v>
      </c>
      <c r="CE228" s="298">
        <v>0</v>
      </c>
      <c r="CF228" s="298">
        <v>0</v>
      </c>
      <c r="CG228" s="298">
        <v>0</v>
      </c>
      <c r="CH228" s="298">
        <v>0</v>
      </c>
      <c r="CI228" s="298">
        <v>0</v>
      </c>
      <c r="CJ228" s="298">
        <v>0</v>
      </c>
      <c r="CK228" s="298">
        <v>0</v>
      </c>
      <c r="CL228" s="298">
        <v>0</v>
      </c>
      <c r="CM228" s="298">
        <v>0</v>
      </c>
      <c r="CN228" s="298">
        <v>0</v>
      </c>
      <c r="CO228" s="298">
        <v>0</v>
      </c>
      <c r="CP228" s="298">
        <v>0</v>
      </c>
      <c r="CQ228" s="298">
        <v>0</v>
      </c>
    </row>
    <row r="229" spans="1:95" x14ac:dyDescent="0.3">
      <c r="A229" s="270">
        <v>579</v>
      </c>
      <c r="B229" s="270">
        <v>579</v>
      </c>
      <c r="C229" s="270" t="s">
        <v>648</v>
      </c>
      <c r="D229" s="270" t="s">
        <v>649</v>
      </c>
      <c r="E229" s="270">
        <v>0</v>
      </c>
      <c r="F229" s="1112">
        <v>0</v>
      </c>
      <c r="G229" s="270">
        <v>0</v>
      </c>
      <c r="H229" s="270">
        <v>0</v>
      </c>
      <c r="I229" s="270">
        <v>0</v>
      </c>
      <c r="J229" s="270">
        <v>0</v>
      </c>
      <c r="K229" s="270">
        <v>0</v>
      </c>
      <c r="L229" s="270">
        <v>0</v>
      </c>
      <c r="M229" s="270">
        <v>0</v>
      </c>
      <c r="N229" s="270">
        <v>0</v>
      </c>
      <c r="O229" s="270">
        <v>0</v>
      </c>
      <c r="P229" s="270">
        <v>0</v>
      </c>
      <c r="Q229" s="270">
        <v>0</v>
      </c>
      <c r="R229" s="270">
        <v>0</v>
      </c>
      <c r="S229" s="270">
        <v>0</v>
      </c>
      <c r="T229" s="270">
        <v>0</v>
      </c>
      <c r="U229" s="270">
        <v>0</v>
      </c>
      <c r="V229" s="270">
        <v>0</v>
      </c>
      <c r="W229" s="270">
        <v>0</v>
      </c>
      <c r="X229" s="270">
        <v>0</v>
      </c>
      <c r="Y229" s="270">
        <v>0</v>
      </c>
      <c r="Z229" s="270">
        <v>0</v>
      </c>
      <c r="AA229" s="1112">
        <v>0</v>
      </c>
      <c r="AB229" s="270">
        <v>0</v>
      </c>
      <c r="AC229" s="270">
        <v>0</v>
      </c>
      <c r="AD229" s="270">
        <v>0</v>
      </c>
      <c r="AE229" s="270">
        <v>0</v>
      </c>
      <c r="AF229" s="270">
        <v>0</v>
      </c>
      <c r="AG229" s="270">
        <v>0</v>
      </c>
      <c r="AH229" s="270">
        <v>0</v>
      </c>
      <c r="AI229" s="270">
        <v>0</v>
      </c>
      <c r="AJ229" s="270">
        <v>0</v>
      </c>
      <c r="AK229" s="270">
        <v>0</v>
      </c>
      <c r="AL229" s="270">
        <v>0</v>
      </c>
      <c r="AM229" s="270">
        <v>0</v>
      </c>
      <c r="AN229" s="270">
        <v>0</v>
      </c>
      <c r="AO229" s="270">
        <v>0</v>
      </c>
      <c r="AP229" s="270">
        <v>0</v>
      </c>
      <c r="AQ229" s="270">
        <v>0</v>
      </c>
      <c r="AR229" s="270">
        <v>0</v>
      </c>
      <c r="AS229" s="270">
        <v>0</v>
      </c>
      <c r="AT229" s="270">
        <v>0</v>
      </c>
      <c r="AU229" s="1112">
        <v>0</v>
      </c>
      <c r="AV229" s="270">
        <v>0</v>
      </c>
      <c r="AW229" s="270">
        <v>0</v>
      </c>
      <c r="AX229" s="270">
        <v>0</v>
      </c>
      <c r="AY229" s="270">
        <v>0</v>
      </c>
      <c r="AZ229" s="270">
        <v>0</v>
      </c>
      <c r="BA229" s="270">
        <v>0</v>
      </c>
      <c r="BB229" s="270">
        <v>0</v>
      </c>
      <c r="BC229" s="270">
        <v>0</v>
      </c>
      <c r="BD229" s="270">
        <v>0</v>
      </c>
      <c r="BE229" s="270">
        <v>0</v>
      </c>
      <c r="BF229" s="270">
        <v>0</v>
      </c>
      <c r="BG229" s="270">
        <v>0</v>
      </c>
      <c r="BH229" s="270">
        <v>0</v>
      </c>
      <c r="BI229" s="270">
        <v>0</v>
      </c>
      <c r="BJ229" s="270">
        <v>0</v>
      </c>
      <c r="BK229" s="270">
        <v>0</v>
      </c>
      <c r="BL229" s="270">
        <v>0</v>
      </c>
      <c r="BM229" s="270">
        <v>0</v>
      </c>
      <c r="BN229" s="270">
        <v>0</v>
      </c>
      <c r="BO229" s="270">
        <v>0</v>
      </c>
      <c r="BP229" s="270">
        <v>0</v>
      </c>
      <c r="BQ229" s="270">
        <v>0</v>
      </c>
      <c r="BR229" s="270">
        <v>0</v>
      </c>
      <c r="BS229" s="270">
        <v>0</v>
      </c>
      <c r="BT229" s="298">
        <v>0</v>
      </c>
      <c r="BU229" s="298">
        <v>0</v>
      </c>
      <c r="BV229" s="298">
        <v>0</v>
      </c>
      <c r="BW229" s="298">
        <v>0</v>
      </c>
      <c r="BX229" s="298">
        <v>0</v>
      </c>
      <c r="BY229" s="298">
        <v>0</v>
      </c>
      <c r="BZ229" s="298">
        <v>0</v>
      </c>
      <c r="CA229" s="298">
        <v>135674</v>
      </c>
      <c r="CB229" s="298">
        <v>0</v>
      </c>
      <c r="CC229" s="298">
        <v>0</v>
      </c>
      <c r="CD229" s="298">
        <v>0</v>
      </c>
      <c r="CE229" s="298">
        <v>0</v>
      </c>
      <c r="CF229" s="298">
        <v>0</v>
      </c>
      <c r="CG229" s="298">
        <v>0</v>
      </c>
      <c r="CH229" s="298">
        <v>0</v>
      </c>
      <c r="CI229" s="298">
        <v>0</v>
      </c>
      <c r="CJ229" s="298">
        <v>0</v>
      </c>
      <c r="CK229" s="298">
        <v>0</v>
      </c>
      <c r="CL229" s="298">
        <v>0</v>
      </c>
      <c r="CM229" s="298">
        <v>0</v>
      </c>
      <c r="CN229" s="298">
        <v>0</v>
      </c>
      <c r="CO229" s="298">
        <v>0</v>
      </c>
      <c r="CP229" s="298">
        <v>0</v>
      </c>
      <c r="CQ229" s="298">
        <v>0</v>
      </c>
    </row>
    <row r="230" spans="1:95" x14ac:dyDescent="0.3">
      <c r="A230" s="270">
        <v>580</v>
      </c>
      <c r="B230" s="270">
        <v>580</v>
      </c>
      <c r="C230" s="270" t="s">
        <v>650</v>
      </c>
      <c r="D230" s="270" t="s">
        <v>651</v>
      </c>
      <c r="E230" s="270">
        <v>0</v>
      </c>
      <c r="F230" s="270">
        <v>0</v>
      </c>
      <c r="G230" s="270">
        <v>0</v>
      </c>
      <c r="H230" s="270">
        <v>0</v>
      </c>
      <c r="I230" s="270">
        <v>0</v>
      </c>
      <c r="J230" s="270">
        <v>0</v>
      </c>
      <c r="K230" s="270">
        <v>0</v>
      </c>
      <c r="L230" s="270">
        <v>0</v>
      </c>
      <c r="M230" s="270">
        <v>0</v>
      </c>
      <c r="N230" s="270">
        <v>0</v>
      </c>
      <c r="O230" s="270">
        <v>0</v>
      </c>
      <c r="P230" s="270">
        <v>0</v>
      </c>
      <c r="Q230" s="270">
        <v>0</v>
      </c>
      <c r="R230" s="270">
        <v>0</v>
      </c>
      <c r="S230" s="270">
        <v>0</v>
      </c>
      <c r="T230" s="270">
        <v>0</v>
      </c>
      <c r="U230" s="270">
        <v>0</v>
      </c>
      <c r="V230" s="270">
        <v>0</v>
      </c>
      <c r="W230" s="270">
        <v>0</v>
      </c>
      <c r="X230" s="270">
        <v>0</v>
      </c>
      <c r="Y230" s="270">
        <v>0</v>
      </c>
      <c r="Z230" s="270">
        <v>0</v>
      </c>
      <c r="AA230" s="270">
        <v>0</v>
      </c>
      <c r="AB230" s="270">
        <v>0</v>
      </c>
      <c r="AC230" s="270">
        <v>0</v>
      </c>
      <c r="AD230" s="270">
        <v>0</v>
      </c>
      <c r="AE230" s="270">
        <v>0</v>
      </c>
      <c r="AF230" s="270">
        <v>0</v>
      </c>
      <c r="AG230" s="270">
        <v>0</v>
      </c>
      <c r="AH230" s="270">
        <v>0</v>
      </c>
      <c r="AI230" s="270">
        <v>0</v>
      </c>
      <c r="AJ230" s="270">
        <v>0</v>
      </c>
      <c r="AK230" s="270">
        <v>0</v>
      </c>
      <c r="AL230" s="270">
        <v>0</v>
      </c>
      <c r="AM230" s="270">
        <v>0</v>
      </c>
      <c r="AN230" s="270">
        <v>0</v>
      </c>
      <c r="AO230" s="270">
        <v>0</v>
      </c>
      <c r="AP230" s="270">
        <v>0</v>
      </c>
      <c r="AQ230" s="270">
        <v>0</v>
      </c>
      <c r="AR230" s="270">
        <v>0</v>
      </c>
      <c r="AS230" s="270">
        <v>0</v>
      </c>
      <c r="AT230" s="270">
        <v>0</v>
      </c>
      <c r="AU230" s="270">
        <v>0</v>
      </c>
      <c r="AV230" s="270">
        <v>0</v>
      </c>
      <c r="AW230" s="270">
        <v>0</v>
      </c>
      <c r="AX230" s="270">
        <v>0</v>
      </c>
      <c r="AY230" s="270">
        <v>0</v>
      </c>
      <c r="AZ230" s="270">
        <v>0</v>
      </c>
      <c r="BA230" s="270">
        <v>0</v>
      </c>
      <c r="BB230" s="270">
        <v>0</v>
      </c>
      <c r="BC230" s="270">
        <v>0</v>
      </c>
      <c r="BD230" s="270">
        <v>0</v>
      </c>
      <c r="BE230" s="270">
        <v>0</v>
      </c>
      <c r="BF230" s="270">
        <v>0</v>
      </c>
      <c r="BG230" s="270">
        <v>0</v>
      </c>
      <c r="BH230" s="270">
        <v>0</v>
      </c>
      <c r="BI230" s="270">
        <v>0</v>
      </c>
      <c r="BJ230" s="270">
        <v>0</v>
      </c>
      <c r="BK230" s="270">
        <v>0</v>
      </c>
      <c r="BL230" s="270">
        <v>0</v>
      </c>
      <c r="BM230" s="270">
        <v>0</v>
      </c>
      <c r="BN230" s="270">
        <v>0</v>
      </c>
      <c r="BO230" s="270">
        <v>0</v>
      </c>
      <c r="BP230" s="270">
        <v>0</v>
      </c>
      <c r="BQ230" s="270">
        <v>0</v>
      </c>
      <c r="BR230" s="270">
        <v>0</v>
      </c>
      <c r="BS230" s="270">
        <v>0</v>
      </c>
      <c r="BT230" s="298">
        <v>0</v>
      </c>
      <c r="BU230" s="298">
        <v>0</v>
      </c>
      <c r="BV230" s="298">
        <v>0</v>
      </c>
      <c r="BW230" s="298">
        <v>0</v>
      </c>
      <c r="BX230" s="298">
        <v>0</v>
      </c>
      <c r="BY230" s="298">
        <v>0</v>
      </c>
      <c r="BZ230" s="298">
        <v>0</v>
      </c>
      <c r="CA230" s="298">
        <v>0</v>
      </c>
      <c r="CB230" s="298">
        <v>0</v>
      </c>
      <c r="CC230" s="298">
        <v>0</v>
      </c>
      <c r="CD230" s="298">
        <v>0</v>
      </c>
      <c r="CE230" s="298">
        <v>0</v>
      </c>
      <c r="CF230" s="298">
        <v>0</v>
      </c>
      <c r="CG230" s="298">
        <v>0</v>
      </c>
      <c r="CH230" s="298">
        <v>0</v>
      </c>
      <c r="CI230" s="298">
        <v>0</v>
      </c>
      <c r="CJ230" s="298">
        <v>0</v>
      </c>
      <c r="CK230" s="298">
        <v>0</v>
      </c>
      <c r="CL230" s="298">
        <v>0</v>
      </c>
      <c r="CM230" s="298">
        <v>0</v>
      </c>
      <c r="CN230" s="298">
        <v>0</v>
      </c>
      <c r="CO230" s="298">
        <v>0</v>
      </c>
      <c r="CP230" s="298">
        <v>0</v>
      </c>
      <c r="CQ230" s="298">
        <v>0</v>
      </c>
    </row>
    <row r="231" spans="1:95" x14ac:dyDescent="0.3">
      <c r="A231" s="270">
        <v>581</v>
      </c>
      <c r="B231" s="270">
        <v>581</v>
      </c>
      <c r="C231" s="270" t="s">
        <v>652</v>
      </c>
      <c r="D231" s="270" t="s">
        <v>653</v>
      </c>
      <c r="E231" s="270">
        <v>0</v>
      </c>
      <c r="F231" s="270">
        <v>0</v>
      </c>
      <c r="G231" s="270">
        <v>0</v>
      </c>
      <c r="H231" s="1112">
        <v>0</v>
      </c>
      <c r="I231" s="270">
        <v>0</v>
      </c>
      <c r="J231" s="270">
        <v>0</v>
      </c>
      <c r="K231" s="270">
        <v>5474161</v>
      </c>
      <c r="L231" s="270">
        <v>0</v>
      </c>
      <c r="M231" s="270">
        <v>0</v>
      </c>
      <c r="N231" s="270">
        <v>0</v>
      </c>
      <c r="O231" s="270">
        <v>0</v>
      </c>
      <c r="P231" s="270">
        <v>0</v>
      </c>
      <c r="Q231" s="270">
        <v>0</v>
      </c>
      <c r="R231" s="270">
        <v>0</v>
      </c>
      <c r="S231" s="270">
        <v>0</v>
      </c>
      <c r="T231" s="270">
        <v>0</v>
      </c>
      <c r="U231" s="270">
        <v>0</v>
      </c>
      <c r="V231" s="270">
        <v>0</v>
      </c>
      <c r="W231" s="270">
        <v>0</v>
      </c>
      <c r="X231" s="270">
        <v>0</v>
      </c>
      <c r="Y231" s="270">
        <v>0</v>
      </c>
      <c r="Z231" s="270">
        <v>0</v>
      </c>
      <c r="AA231" s="270">
        <v>0</v>
      </c>
      <c r="AB231" s="270">
        <v>0</v>
      </c>
      <c r="AC231" s="270">
        <v>0</v>
      </c>
      <c r="AD231" s="270">
        <v>0</v>
      </c>
      <c r="AE231" s="270">
        <v>0</v>
      </c>
      <c r="AF231" s="270">
        <v>0</v>
      </c>
      <c r="AG231" s="270">
        <v>0</v>
      </c>
      <c r="AH231" s="270">
        <v>0</v>
      </c>
      <c r="AI231" s="270">
        <v>0</v>
      </c>
      <c r="AJ231" s="270">
        <v>0</v>
      </c>
      <c r="AK231" s="270">
        <v>0</v>
      </c>
      <c r="AL231" s="270">
        <v>0</v>
      </c>
      <c r="AM231" s="270">
        <v>0</v>
      </c>
      <c r="AN231" s="270">
        <v>0</v>
      </c>
      <c r="AO231" s="270">
        <v>0</v>
      </c>
      <c r="AP231" s="270">
        <v>0</v>
      </c>
      <c r="AQ231" s="270">
        <v>0</v>
      </c>
      <c r="AR231" s="270">
        <v>0</v>
      </c>
      <c r="AS231" s="270">
        <v>0</v>
      </c>
      <c r="AT231" s="270">
        <v>0</v>
      </c>
      <c r="AU231" s="270">
        <v>0</v>
      </c>
      <c r="AV231" s="270">
        <v>0</v>
      </c>
      <c r="AW231" s="270">
        <v>0</v>
      </c>
      <c r="AX231" s="270">
        <v>0</v>
      </c>
      <c r="AY231" s="270">
        <v>0</v>
      </c>
      <c r="AZ231" s="270">
        <v>0</v>
      </c>
      <c r="BA231" s="270">
        <v>0</v>
      </c>
      <c r="BB231" s="270">
        <v>0</v>
      </c>
      <c r="BC231" s="270">
        <v>0</v>
      </c>
      <c r="BD231" s="270">
        <v>0</v>
      </c>
      <c r="BE231" s="270">
        <v>106235</v>
      </c>
      <c r="BF231" s="270">
        <v>0</v>
      </c>
      <c r="BG231" s="270">
        <v>0</v>
      </c>
      <c r="BH231" s="270">
        <v>0</v>
      </c>
      <c r="BI231" s="270">
        <v>0</v>
      </c>
      <c r="BJ231" s="270">
        <v>0</v>
      </c>
      <c r="BK231" s="270">
        <v>0</v>
      </c>
      <c r="BL231" s="270">
        <v>0</v>
      </c>
      <c r="BM231" s="270">
        <v>0</v>
      </c>
      <c r="BN231" s="270">
        <v>0</v>
      </c>
      <c r="BO231" s="270">
        <v>0</v>
      </c>
      <c r="BP231" s="270">
        <v>0</v>
      </c>
      <c r="BQ231" s="270">
        <v>0</v>
      </c>
      <c r="BR231" s="270">
        <v>0</v>
      </c>
      <c r="BS231" s="270">
        <v>0</v>
      </c>
      <c r="BT231" s="298">
        <v>0</v>
      </c>
      <c r="BU231" s="298">
        <v>0</v>
      </c>
      <c r="BV231" s="298">
        <v>0</v>
      </c>
      <c r="BW231" s="298">
        <v>0</v>
      </c>
      <c r="BX231" s="298">
        <v>0</v>
      </c>
      <c r="BY231" s="298">
        <v>0</v>
      </c>
      <c r="BZ231" s="298">
        <v>0</v>
      </c>
      <c r="CA231" s="298">
        <v>0</v>
      </c>
      <c r="CB231" s="298">
        <v>0</v>
      </c>
      <c r="CC231" s="298">
        <v>0</v>
      </c>
      <c r="CD231" s="298">
        <v>0</v>
      </c>
      <c r="CE231" s="298">
        <v>0</v>
      </c>
      <c r="CF231" s="298">
        <v>0</v>
      </c>
      <c r="CG231" s="298">
        <v>0</v>
      </c>
      <c r="CH231" s="298">
        <v>0</v>
      </c>
      <c r="CI231" s="298">
        <v>0</v>
      </c>
      <c r="CJ231" s="298">
        <v>0</v>
      </c>
      <c r="CK231" s="298">
        <v>0</v>
      </c>
      <c r="CL231" s="298">
        <v>0</v>
      </c>
      <c r="CM231" s="298">
        <v>0</v>
      </c>
      <c r="CN231" s="298">
        <v>0</v>
      </c>
      <c r="CO231" s="298">
        <v>0</v>
      </c>
      <c r="CP231" s="298">
        <v>0</v>
      </c>
      <c r="CQ231" s="298">
        <v>0</v>
      </c>
    </row>
    <row r="232" spans="1:95" x14ac:dyDescent="0.3">
      <c r="A232" s="270"/>
      <c r="B232" s="270">
        <v>582</v>
      </c>
      <c r="C232" s="270" t="s">
        <v>654</v>
      </c>
      <c r="D232" s="270" t="s">
        <v>655</v>
      </c>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c r="AB232" s="270"/>
      <c r="AC232" s="270"/>
      <c r="AD232" s="270"/>
      <c r="AE232" s="270"/>
      <c r="AF232" s="270"/>
      <c r="AG232" s="270"/>
      <c r="AH232" s="270"/>
      <c r="AI232" s="270"/>
      <c r="AJ232" s="270"/>
      <c r="AK232" s="270"/>
      <c r="AL232" s="270"/>
      <c r="AM232" s="270"/>
      <c r="AN232" s="270"/>
      <c r="AO232" s="270"/>
      <c r="AP232" s="270"/>
      <c r="AQ232" s="270"/>
      <c r="AR232" s="270"/>
      <c r="AS232" s="270"/>
      <c r="AT232" s="270"/>
      <c r="AU232" s="270"/>
      <c r="AV232" s="270"/>
      <c r="AW232" s="270"/>
      <c r="AX232" s="270"/>
      <c r="AY232" s="270"/>
      <c r="AZ232" s="270"/>
      <c r="BA232" s="270"/>
      <c r="BB232" s="270"/>
      <c r="BC232" s="270"/>
      <c r="BD232" s="270"/>
      <c r="BE232" s="270"/>
      <c r="BF232" s="270"/>
      <c r="BG232" s="270"/>
      <c r="BH232" s="270"/>
      <c r="BI232" s="270"/>
      <c r="BJ232" s="270"/>
      <c r="BK232" s="270"/>
      <c r="BL232" s="270"/>
      <c r="BM232" s="270"/>
      <c r="BN232" s="270"/>
      <c r="BO232" s="270"/>
      <c r="BP232" s="270"/>
      <c r="BQ232" s="270"/>
      <c r="BR232" s="270"/>
      <c r="BS232" s="270"/>
    </row>
    <row r="233" spans="1:95" x14ac:dyDescent="0.3">
      <c r="A233" s="270"/>
      <c r="B233" s="270">
        <v>583</v>
      </c>
      <c r="C233" s="270" t="s">
        <v>656</v>
      </c>
      <c r="D233" s="270" t="s">
        <v>657</v>
      </c>
      <c r="E233" s="270"/>
      <c r="F233" s="270"/>
      <c r="G233" s="270"/>
      <c r="H233" s="270"/>
      <c r="I233" s="270"/>
      <c r="J233" s="270"/>
      <c r="K233" s="270"/>
      <c r="L233" s="270"/>
      <c r="M233" s="270"/>
      <c r="N233" s="270"/>
      <c r="O233" s="270"/>
      <c r="P233" s="270"/>
      <c r="Q233" s="270"/>
      <c r="R233" s="270"/>
      <c r="S233" s="270"/>
      <c r="T233" s="270"/>
      <c r="U233" s="270"/>
      <c r="V233" s="270"/>
      <c r="W233" s="270"/>
      <c r="X233" s="270"/>
      <c r="Y233" s="270"/>
      <c r="Z233" s="270"/>
      <c r="AA233" s="270"/>
      <c r="AB233" s="270"/>
      <c r="AC233" s="270"/>
      <c r="AD233" s="270"/>
      <c r="AE233" s="270"/>
      <c r="AF233" s="270"/>
      <c r="AG233" s="270"/>
      <c r="AH233" s="270"/>
      <c r="AI233" s="270"/>
      <c r="AJ233" s="270"/>
      <c r="AK233" s="270"/>
      <c r="AL233" s="270"/>
      <c r="AM233" s="270"/>
      <c r="AN233" s="270"/>
      <c r="AO233" s="270"/>
      <c r="AP233" s="270"/>
      <c r="AQ233" s="270"/>
      <c r="AR233" s="270"/>
      <c r="AS233" s="270"/>
      <c r="AT233" s="270"/>
      <c r="AU233" s="270"/>
      <c r="AV233" s="270"/>
      <c r="AW233" s="270"/>
      <c r="AX233" s="270"/>
      <c r="AY233" s="270"/>
      <c r="AZ233" s="270"/>
      <c r="BA233" s="270"/>
      <c r="BB233" s="270"/>
      <c r="BC233" s="270"/>
      <c r="BD233" s="270"/>
      <c r="BE233" s="270"/>
      <c r="BF233" s="270"/>
      <c r="BG233" s="270"/>
      <c r="BH233" s="270"/>
      <c r="BI233" s="270"/>
      <c r="BJ233" s="270"/>
      <c r="BK233" s="270"/>
      <c r="BL233" s="270"/>
      <c r="BM233" s="270"/>
      <c r="BN233" s="270"/>
      <c r="BO233" s="270"/>
      <c r="BP233" s="270"/>
      <c r="BQ233" s="270"/>
      <c r="BR233" s="270"/>
      <c r="BS233" s="270"/>
    </row>
    <row r="234" spans="1:95" x14ac:dyDescent="0.3">
      <c r="A234" s="270"/>
      <c r="B234" s="270">
        <v>584</v>
      </c>
      <c r="C234" s="270" t="s">
        <v>658</v>
      </c>
      <c r="D234" s="270" t="s">
        <v>659</v>
      </c>
      <c r="E234" s="270"/>
      <c r="F234" s="270"/>
      <c r="G234" s="270"/>
      <c r="H234" s="270"/>
      <c r="I234" s="270"/>
      <c r="J234" s="270"/>
      <c r="K234" s="270"/>
      <c r="L234" s="270"/>
      <c r="M234" s="270"/>
      <c r="N234" s="270"/>
      <c r="O234" s="270"/>
      <c r="P234" s="270"/>
      <c r="Q234" s="270"/>
      <c r="R234" s="270"/>
      <c r="S234" s="270"/>
      <c r="T234" s="270"/>
      <c r="U234" s="270"/>
      <c r="V234" s="270"/>
      <c r="W234" s="270"/>
      <c r="X234" s="270"/>
      <c r="Y234" s="270"/>
      <c r="Z234" s="270"/>
      <c r="AA234" s="270"/>
      <c r="AB234" s="270"/>
      <c r="AC234" s="270"/>
      <c r="AD234" s="270"/>
      <c r="AE234" s="270"/>
      <c r="AF234" s="270"/>
      <c r="AG234" s="270"/>
      <c r="AH234" s="270"/>
      <c r="AI234" s="270"/>
      <c r="AJ234" s="270"/>
      <c r="AK234" s="270"/>
      <c r="AL234" s="270"/>
      <c r="AM234" s="270"/>
      <c r="AN234" s="270"/>
      <c r="AO234" s="270"/>
      <c r="AP234" s="270"/>
      <c r="AQ234" s="270"/>
      <c r="AR234" s="270"/>
      <c r="AS234" s="270"/>
      <c r="AT234" s="270"/>
      <c r="AU234" s="270"/>
      <c r="AV234" s="270"/>
      <c r="AW234" s="270"/>
      <c r="AX234" s="270"/>
      <c r="AY234" s="270"/>
      <c r="AZ234" s="270"/>
      <c r="BA234" s="270"/>
      <c r="BB234" s="270"/>
      <c r="BC234" s="270"/>
      <c r="BD234" s="270"/>
      <c r="BE234" s="270"/>
      <c r="BF234" s="270"/>
      <c r="BG234" s="270"/>
      <c r="BH234" s="270"/>
      <c r="BI234" s="270"/>
      <c r="BJ234" s="270"/>
      <c r="BK234" s="270"/>
      <c r="BL234" s="270"/>
      <c r="BM234" s="270"/>
      <c r="BN234" s="270"/>
      <c r="BO234" s="270"/>
      <c r="BP234" s="270"/>
      <c r="BQ234" s="270"/>
      <c r="BR234" s="270"/>
      <c r="BS234" s="270"/>
    </row>
    <row r="235" spans="1:95" x14ac:dyDescent="0.3">
      <c r="A235" s="270"/>
      <c r="B235" s="270">
        <v>585</v>
      </c>
      <c r="C235" s="270" t="s">
        <v>660</v>
      </c>
      <c r="D235" s="270" t="s">
        <v>661</v>
      </c>
      <c r="E235" s="270"/>
      <c r="F235" s="270"/>
      <c r="G235" s="270"/>
      <c r="H235" s="270"/>
      <c r="I235" s="270"/>
      <c r="J235" s="270"/>
      <c r="K235" s="270"/>
      <c r="L235" s="270"/>
      <c r="M235" s="270"/>
      <c r="N235" s="270"/>
      <c r="O235" s="270"/>
      <c r="P235" s="270"/>
      <c r="Q235" s="270"/>
      <c r="R235" s="270"/>
      <c r="S235" s="270"/>
      <c r="T235" s="270"/>
      <c r="U235" s="270"/>
      <c r="V235" s="270"/>
      <c r="W235" s="270"/>
      <c r="X235" s="270"/>
      <c r="Y235" s="270"/>
      <c r="Z235" s="270"/>
      <c r="AA235" s="270"/>
      <c r="AB235" s="270"/>
      <c r="AC235" s="270"/>
      <c r="AD235" s="270"/>
      <c r="AE235" s="270"/>
      <c r="AF235" s="270"/>
      <c r="AG235" s="270"/>
      <c r="AH235" s="270"/>
      <c r="AI235" s="270"/>
      <c r="AJ235" s="270"/>
      <c r="AK235" s="270"/>
      <c r="AL235" s="270"/>
      <c r="AM235" s="270"/>
      <c r="AN235" s="270"/>
      <c r="AO235" s="270"/>
      <c r="AP235" s="270"/>
      <c r="AQ235" s="270"/>
      <c r="AR235" s="270"/>
      <c r="AS235" s="270"/>
      <c r="AT235" s="270"/>
      <c r="AU235" s="270"/>
      <c r="AV235" s="270"/>
      <c r="AW235" s="270"/>
      <c r="AX235" s="270"/>
      <c r="AY235" s="270"/>
      <c r="AZ235" s="270"/>
      <c r="BA235" s="270"/>
      <c r="BB235" s="270"/>
      <c r="BC235" s="270"/>
      <c r="BD235" s="270"/>
      <c r="BE235" s="270"/>
      <c r="BF235" s="270"/>
      <c r="BG235" s="270"/>
      <c r="BH235" s="270"/>
      <c r="BI235" s="270"/>
      <c r="BJ235" s="270"/>
      <c r="BK235" s="270"/>
      <c r="BL235" s="270"/>
      <c r="BM235" s="270"/>
      <c r="BN235" s="270"/>
      <c r="BO235" s="270"/>
      <c r="BP235" s="270"/>
      <c r="BQ235" s="270"/>
      <c r="BR235" s="270"/>
      <c r="BS235" s="270"/>
    </row>
    <row r="236" spans="1:95" x14ac:dyDescent="0.3">
      <c r="A236" s="270">
        <v>586</v>
      </c>
      <c r="B236" s="270">
        <v>586</v>
      </c>
      <c r="C236" s="270" t="s">
        <v>662</v>
      </c>
      <c r="D236" s="270" t="s">
        <v>663</v>
      </c>
      <c r="E236" s="270">
        <v>0</v>
      </c>
      <c r="F236" s="270">
        <v>2798</v>
      </c>
      <c r="G236" s="270">
        <v>0</v>
      </c>
      <c r="H236" s="270">
        <v>0</v>
      </c>
      <c r="I236" s="270">
        <v>0</v>
      </c>
      <c r="J236" s="270">
        <v>0</v>
      </c>
      <c r="K236" s="270">
        <v>0</v>
      </c>
      <c r="L236" s="270">
        <v>0</v>
      </c>
      <c r="M236" s="270">
        <v>0</v>
      </c>
      <c r="N236" s="270">
        <v>0</v>
      </c>
      <c r="O236" s="270">
        <v>0</v>
      </c>
      <c r="P236" s="270">
        <v>0</v>
      </c>
      <c r="Q236" s="270">
        <v>39950</v>
      </c>
      <c r="R236" s="270">
        <v>0</v>
      </c>
      <c r="S236" s="270">
        <v>0</v>
      </c>
      <c r="T236" s="270">
        <v>0</v>
      </c>
      <c r="U236" s="270">
        <v>161408</v>
      </c>
      <c r="V236" s="270">
        <v>0</v>
      </c>
      <c r="W236" s="270">
        <v>0</v>
      </c>
      <c r="X236" s="270">
        <v>0</v>
      </c>
      <c r="Y236" s="270">
        <v>0</v>
      </c>
      <c r="Z236" s="270">
        <v>0</v>
      </c>
      <c r="AA236" s="270">
        <v>0</v>
      </c>
      <c r="AB236" s="270">
        <v>0</v>
      </c>
      <c r="AC236" s="270">
        <v>0</v>
      </c>
      <c r="AD236" s="270">
        <v>0</v>
      </c>
      <c r="AE236" s="270">
        <v>0</v>
      </c>
      <c r="AF236" s="270">
        <v>0</v>
      </c>
      <c r="AG236" s="270">
        <v>0</v>
      </c>
      <c r="AH236" s="270">
        <v>0</v>
      </c>
      <c r="AI236" s="270">
        <v>0</v>
      </c>
      <c r="AJ236" s="270">
        <v>0</v>
      </c>
      <c r="AK236" s="270">
        <v>0</v>
      </c>
      <c r="AL236" s="270">
        <v>0</v>
      </c>
      <c r="AM236" s="270">
        <v>0</v>
      </c>
      <c r="AN236" s="270">
        <v>0</v>
      </c>
      <c r="AO236" s="270">
        <v>0</v>
      </c>
      <c r="AP236" s="270">
        <v>0</v>
      </c>
      <c r="AQ236" s="270">
        <v>0</v>
      </c>
      <c r="AR236" s="270">
        <v>0</v>
      </c>
      <c r="AS236" s="270">
        <v>0</v>
      </c>
      <c r="AT236" s="270">
        <v>0</v>
      </c>
      <c r="AU236" s="270">
        <v>0</v>
      </c>
      <c r="AV236" s="270">
        <v>0</v>
      </c>
      <c r="AW236" s="270">
        <v>0</v>
      </c>
      <c r="AX236" s="270">
        <v>0</v>
      </c>
      <c r="AY236" s="270">
        <v>500000</v>
      </c>
      <c r="AZ236" s="270">
        <v>0</v>
      </c>
      <c r="BA236" s="270">
        <v>0</v>
      </c>
      <c r="BB236" s="270">
        <v>0</v>
      </c>
      <c r="BC236" s="270">
        <v>0</v>
      </c>
      <c r="BD236" s="270">
        <v>0</v>
      </c>
      <c r="BE236" s="270">
        <v>0</v>
      </c>
      <c r="BF236" s="270">
        <v>35404</v>
      </c>
      <c r="BG236" s="270">
        <v>0</v>
      </c>
      <c r="BH236" s="270">
        <v>0</v>
      </c>
      <c r="BI236" s="270">
        <v>0</v>
      </c>
      <c r="BJ236" s="270">
        <v>0</v>
      </c>
      <c r="BK236" s="270">
        <v>0</v>
      </c>
      <c r="BL236" s="270">
        <v>0</v>
      </c>
      <c r="BM236" s="270">
        <v>0</v>
      </c>
      <c r="BN236" s="270">
        <v>0</v>
      </c>
      <c r="BO236" s="270">
        <v>0</v>
      </c>
      <c r="BP236" s="270">
        <v>0</v>
      </c>
      <c r="BQ236" s="270">
        <v>0</v>
      </c>
      <c r="BR236" s="270">
        <v>0</v>
      </c>
      <c r="BS236" s="270">
        <v>0</v>
      </c>
      <c r="BT236" s="298">
        <v>0</v>
      </c>
      <c r="BU236" s="298">
        <v>0</v>
      </c>
      <c r="BV236" s="298">
        <v>0</v>
      </c>
      <c r="BW236" s="298">
        <v>0</v>
      </c>
      <c r="BX236" s="298">
        <v>0</v>
      </c>
      <c r="BY236" s="298">
        <v>0</v>
      </c>
      <c r="BZ236" s="298">
        <v>0</v>
      </c>
      <c r="CA236" s="298">
        <v>0</v>
      </c>
      <c r="CB236" s="298">
        <v>0</v>
      </c>
      <c r="CC236" s="298">
        <v>0</v>
      </c>
      <c r="CD236" s="298">
        <v>0</v>
      </c>
      <c r="CE236" s="298">
        <v>0</v>
      </c>
      <c r="CF236" s="298">
        <v>0</v>
      </c>
      <c r="CG236" s="298">
        <v>0</v>
      </c>
      <c r="CH236" s="298">
        <v>0</v>
      </c>
      <c r="CI236" s="298">
        <v>0</v>
      </c>
      <c r="CJ236" s="298">
        <v>0</v>
      </c>
      <c r="CK236" s="298">
        <v>0</v>
      </c>
      <c r="CL236" s="298">
        <v>0</v>
      </c>
      <c r="CM236" s="298">
        <v>0</v>
      </c>
      <c r="CN236" s="298">
        <v>0</v>
      </c>
      <c r="CO236" s="298">
        <v>0</v>
      </c>
      <c r="CP236" s="298">
        <v>0</v>
      </c>
      <c r="CQ236" s="298">
        <v>0</v>
      </c>
    </row>
    <row r="237" spans="1:95" x14ac:dyDescent="0.3">
      <c r="A237" s="270">
        <v>591</v>
      </c>
      <c r="B237" s="270">
        <v>587</v>
      </c>
      <c r="C237" s="270" t="s">
        <v>664</v>
      </c>
      <c r="D237" s="270" t="s">
        <v>665</v>
      </c>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c r="AA237" s="270"/>
      <c r="AB237" s="270"/>
      <c r="AC237" s="270"/>
      <c r="AD237" s="270"/>
      <c r="AE237" s="270"/>
      <c r="AF237" s="270"/>
      <c r="AG237" s="270"/>
      <c r="AH237" s="270"/>
      <c r="AI237" s="270"/>
      <c r="AJ237" s="270"/>
      <c r="AK237" s="270"/>
      <c r="AL237" s="270"/>
      <c r="AM237" s="270"/>
      <c r="AN237" s="270"/>
      <c r="AO237" s="270"/>
      <c r="AP237" s="270"/>
      <c r="AQ237" s="270"/>
      <c r="AR237" s="270"/>
      <c r="AS237" s="270"/>
      <c r="AT237" s="270"/>
      <c r="AU237" s="270"/>
      <c r="AV237" s="270"/>
      <c r="AW237" s="270"/>
      <c r="AX237" s="270"/>
      <c r="AY237" s="270"/>
      <c r="AZ237" s="270"/>
      <c r="BA237" s="270"/>
      <c r="BB237" s="270"/>
      <c r="BC237" s="270"/>
      <c r="BD237" s="270"/>
      <c r="BE237" s="270"/>
      <c r="BF237" s="270"/>
      <c r="BG237" s="270"/>
      <c r="BH237" s="270"/>
      <c r="BI237" s="270"/>
      <c r="BJ237" s="270"/>
      <c r="BK237" s="270"/>
      <c r="BL237" s="270"/>
      <c r="BM237" s="270"/>
      <c r="BN237" s="270"/>
      <c r="BO237" s="270"/>
      <c r="BP237" s="270"/>
      <c r="BQ237" s="270"/>
      <c r="BR237" s="270"/>
      <c r="BS237" s="270"/>
    </row>
    <row r="238" spans="1:95" x14ac:dyDescent="0.3">
      <c r="A238" s="270">
        <v>592</v>
      </c>
      <c r="B238" s="270">
        <v>588</v>
      </c>
      <c r="C238" s="270" t="s">
        <v>666</v>
      </c>
      <c r="D238" s="270" t="s">
        <v>667</v>
      </c>
      <c r="E238" s="270"/>
      <c r="F238" s="270"/>
      <c r="G238" s="270"/>
      <c r="H238" s="270"/>
      <c r="I238" s="270"/>
      <c r="J238" s="270"/>
      <c r="K238" s="270"/>
      <c r="L238" s="270"/>
      <c r="M238" s="270"/>
      <c r="N238" s="270"/>
      <c r="O238" s="270"/>
      <c r="P238" s="270"/>
      <c r="Q238" s="270"/>
      <c r="R238" s="270"/>
      <c r="S238" s="270"/>
      <c r="T238" s="270"/>
      <c r="U238" s="270"/>
      <c r="V238" s="270"/>
      <c r="W238" s="270"/>
      <c r="X238" s="270"/>
      <c r="Y238" s="270"/>
      <c r="Z238" s="270"/>
      <c r="AA238" s="270"/>
      <c r="AB238" s="270"/>
      <c r="AC238" s="270"/>
      <c r="AD238" s="270"/>
      <c r="AE238" s="270"/>
      <c r="AF238" s="270"/>
      <c r="AG238" s="270"/>
      <c r="AH238" s="270"/>
      <c r="AI238" s="270"/>
      <c r="AJ238" s="270"/>
      <c r="AK238" s="270"/>
      <c r="AL238" s="270"/>
      <c r="AM238" s="270"/>
      <c r="AN238" s="270"/>
      <c r="AO238" s="270"/>
      <c r="AP238" s="270"/>
      <c r="AQ238" s="270"/>
      <c r="AR238" s="270"/>
      <c r="AS238" s="270"/>
      <c r="AT238" s="270"/>
      <c r="AU238" s="270"/>
      <c r="AV238" s="270"/>
      <c r="AW238" s="270"/>
      <c r="AX238" s="270"/>
      <c r="AY238" s="270"/>
      <c r="AZ238" s="270"/>
      <c r="BA238" s="270"/>
      <c r="BB238" s="270"/>
      <c r="BC238" s="270"/>
      <c r="BD238" s="270"/>
      <c r="BE238" s="270"/>
      <c r="BF238" s="270"/>
      <c r="BG238" s="270"/>
      <c r="BH238" s="270"/>
      <c r="BI238" s="270"/>
      <c r="BJ238" s="270"/>
      <c r="BK238" s="270"/>
      <c r="BL238" s="270"/>
      <c r="BM238" s="270"/>
      <c r="BN238" s="270"/>
      <c r="BO238" s="270"/>
      <c r="BP238" s="270"/>
      <c r="BQ238" s="270"/>
      <c r="BR238" s="270"/>
      <c r="BS238" s="270"/>
    </row>
    <row r="239" spans="1:95" x14ac:dyDescent="0.3">
      <c r="A239" s="270">
        <v>596</v>
      </c>
      <c r="B239" s="270">
        <v>589</v>
      </c>
      <c r="C239" s="270" t="s">
        <v>668</v>
      </c>
      <c r="D239" s="270" t="s">
        <v>669</v>
      </c>
      <c r="E239" s="270"/>
      <c r="F239" s="270"/>
      <c r="G239" s="270"/>
      <c r="H239" s="270"/>
      <c r="I239" s="270"/>
      <c r="J239" s="270"/>
      <c r="K239" s="270"/>
      <c r="L239" s="270"/>
      <c r="M239" s="270"/>
      <c r="N239" s="270"/>
      <c r="O239" s="270"/>
      <c r="P239" s="270"/>
      <c r="Q239" s="270"/>
      <c r="R239" s="270"/>
      <c r="S239" s="270"/>
      <c r="T239" s="270"/>
      <c r="U239" s="270"/>
      <c r="V239" s="270"/>
      <c r="W239" s="270"/>
      <c r="X239" s="270"/>
      <c r="Y239" s="270"/>
      <c r="Z239" s="270"/>
      <c r="AA239" s="270"/>
      <c r="AB239" s="270"/>
      <c r="AC239" s="270"/>
      <c r="AD239" s="270"/>
      <c r="AE239" s="270"/>
      <c r="AF239" s="270"/>
      <c r="AG239" s="270"/>
      <c r="AH239" s="270"/>
      <c r="AI239" s="270"/>
      <c r="AJ239" s="270"/>
      <c r="AK239" s="270"/>
      <c r="AL239" s="270"/>
      <c r="AM239" s="270"/>
      <c r="AN239" s="270"/>
      <c r="AO239" s="270"/>
      <c r="AP239" s="270"/>
      <c r="AQ239" s="270"/>
      <c r="AR239" s="270"/>
      <c r="AS239" s="270"/>
      <c r="AT239" s="270"/>
      <c r="AU239" s="270"/>
      <c r="AV239" s="270"/>
      <c r="AW239" s="270"/>
      <c r="AX239" s="270"/>
      <c r="AY239" s="270"/>
      <c r="AZ239" s="270"/>
      <c r="BA239" s="270"/>
      <c r="BB239" s="270"/>
      <c r="BC239" s="270"/>
      <c r="BD239" s="270"/>
      <c r="BE239" s="270"/>
      <c r="BF239" s="270"/>
      <c r="BG239" s="270"/>
      <c r="BH239" s="270"/>
      <c r="BI239" s="270"/>
      <c r="BJ239" s="270"/>
      <c r="BK239" s="270"/>
      <c r="BL239" s="270"/>
      <c r="BM239" s="270"/>
      <c r="BN239" s="270"/>
      <c r="BO239" s="270"/>
      <c r="BP239" s="270"/>
      <c r="BQ239" s="270"/>
      <c r="BR239" s="270"/>
      <c r="BS239" s="270"/>
    </row>
    <row r="240" spans="1:95" x14ac:dyDescent="0.3">
      <c r="A240" s="270">
        <v>597</v>
      </c>
      <c r="B240" s="270">
        <v>590</v>
      </c>
      <c r="C240" s="270" t="s">
        <v>670</v>
      </c>
      <c r="D240" s="270" t="s">
        <v>671</v>
      </c>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c r="AA240" s="270"/>
      <c r="AB240" s="270"/>
      <c r="AC240" s="270"/>
      <c r="AD240" s="270"/>
      <c r="AE240" s="270"/>
      <c r="AF240" s="270"/>
      <c r="AG240" s="270"/>
      <c r="AH240" s="270"/>
      <c r="AI240" s="270"/>
      <c r="AJ240" s="270"/>
      <c r="AK240" s="270"/>
      <c r="AL240" s="270"/>
      <c r="AM240" s="270"/>
      <c r="AN240" s="270"/>
      <c r="AO240" s="270"/>
      <c r="AP240" s="270"/>
      <c r="AQ240" s="270"/>
      <c r="AR240" s="270"/>
      <c r="AS240" s="270"/>
      <c r="AT240" s="270"/>
      <c r="AU240" s="270"/>
      <c r="AV240" s="270"/>
      <c r="AW240" s="270"/>
      <c r="AX240" s="270"/>
      <c r="AY240" s="270"/>
      <c r="AZ240" s="270"/>
      <c r="BA240" s="270"/>
      <c r="BB240" s="270"/>
      <c r="BC240" s="270"/>
      <c r="BD240" s="270"/>
      <c r="BE240" s="270"/>
      <c r="BF240" s="270"/>
      <c r="BG240" s="270"/>
      <c r="BH240" s="270"/>
      <c r="BI240" s="270"/>
      <c r="BJ240" s="270"/>
      <c r="BK240" s="270"/>
      <c r="BL240" s="270"/>
      <c r="BM240" s="270"/>
      <c r="BN240" s="270"/>
      <c r="BO240" s="270"/>
      <c r="BP240" s="270"/>
      <c r="BQ240" s="270"/>
      <c r="BR240" s="270"/>
      <c r="BS240" s="270"/>
    </row>
    <row r="241" spans="1:95" x14ac:dyDescent="0.3">
      <c r="A241" s="270"/>
      <c r="B241" s="270">
        <v>992</v>
      </c>
      <c r="C241" s="270"/>
      <c r="D241" s="270" t="s">
        <v>602</v>
      </c>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c r="AA241" s="270"/>
      <c r="AB241" s="270"/>
      <c r="AC241" s="270"/>
      <c r="AD241" s="270"/>
      <c r="AE241" s="270"/>
      <c r="AF241" s="270"/>
      <c r="AG241" s="270"/>
      <c r="AH241" s="270"/>
      <c r="AI241" s="270"/>
      <c r="AJ241" s="270"/>
      <c r="AK241" s="270"/>
      <c r="AL241" s="270"/>
      <c r="AM241" s="270"/>
      <c r="AN241" s="270"/>
      <c r="AO241" s="270"/>
      <c r="AP241" s="270"/>
      <c r="AQ241" s="270"/>
      <c r="AR241" s="270"/>
      <c r="AS241" s="270"/>
      <c r="AT241" s="270"/>
      <c r="AU241" s="270"/>
      <c r="AV241" s="270"/>
      <c r="AW241" s="270"/>
      <c r="AX241" s="270"/>
      <c r="AY241" s="270"/>
      <c r="AZ241" s="270"/>
      <c r="BA241" s="270"/>
      <c r="BB241" s="270"/>
      <c r="BC241" s="270"/>
      <c r="BD241" s="270"/>
      <c r="BE241" s="270"/>
      <c r="BF241" s="270"/>
      <c r="BG241" s="270"/>
      <c r="BH241" s="270"/>
      <c r="BI241" s="270"/>
      <c r="BJ241" s="270"/>
      <c r="BK241" s="270"/>
      <c r="BL241" s="270"/>
      <c r="BM241" s="270"/>
      <c r="BN241" s="270"/>
      <c r="BO241" s="270"/>
      <c r="BP241" s="270"/>
      <c r="BQ241" s="270"/>
      <c r="BR241" s="270"/>
      <c r="BS241" s="270"/>
    </row>
    <row r="242" spans="1:95" x14ac:dyDescent="0.3">
      <c r="A242" s="270"/>
      <c r="B242" s="270">
        <v>993</v>
      </c>
      <c r="C242" s="270" t="s">
        <v>514</v>
      </c>
      <c r="D242" s="270" t="s">
        <v>515</v>
      </c>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c r="AA242" s="270"/>
      <c r="AB242" s="270"/>
      <c r="AC242" s="270"/>
      <c r="AD242" s="270"/>
      <c r="AE242" s="270"/>
      <c r="AF242" s="270"/>
      <c r="AG242" s="270"/>
      <c r="AH242" s="270"/>
      <c r="AI242" s="270"/>
      <c r="AJ242" s="270"/>
      <c r="AK242" s="270"/>
      <c r="AL242" s="270"/>
      <c r="AM242" s="270"/>
      <c r="AN242" s="270"/>
      <c r="AO242" s="270"/>
      <c r="AP242" s="270"/>
      <c r="AQ242" s="270"/>
      <c r="AR242" s="270"/>
      <c r="AS242" s="270"/>
      <c r="AT242" s="270"/>
      <c r="AU242" s="270"/>
      <c r="AV242" s="270"/>
      <c r="AW242" s="270"/>
      <c r="AX242" s="270"/>
      <c r="AY242" s="270"/>
      <c r="AZ242" s="270"/>
      <c r="BA242" s="270"/>
      <c r="BB242" s="270"/>
      <c r="BC242" s="270"/>
      <c r="BD242" s="270"/>
      <c r="BE242" s="270"/>
      <c r="BF242" s="270"/>
      <c r="BG242" s="270"/>
      <c r="BH242" s="270"/>
      <c r="BI242" s="270"/>
      <c r="BJ242" s="270"/>
      <c r="BK242" s="270"/>
      <c r="BL242" s="270"/>
      <c r="BM242" s="270"/>
      <c r="BN242" s="270"/>
      <c r="BO242" s="270"/>
      <c r="BP242" s="270"/>
      <c r="BQ242" s="270"/>
      <c r="BR242" s="270"/>
      <c r="BS242" s="270"/>
    </row>
    <row r="243" spans="1:95" x14ac:dyDescent="0.3">
      <c r="A243" s="270"/>
      <c r="B243" s="270">
        <v>994</v>
      </c>
      <c r="C243" s="270" t="s">
        <v>516</v>
      </c>
      <c r="D243" s="270" t="s">
        <v>517</v>
      </c>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c r="AA243" s="270"/>
      <c r="AB243" s="270"/>
      <c r="AC243" s="270"/>
      <c r="AD243" s="270"/>
      <c r="AE243" s="270"/>
      <c r="AF243" s="270"/>
      <c r="AG243" s="270"/>
      <c r="AH243" s="270"/>
      <c r="AI243" s="270"/>
      <c r="AJ243" s="270"/>
      <c r="AK243" s="270"/>
      <c r="AL243" s="270"/>
      <c r="AM243" s="270"/>
      <c r="AN243" s="270"/>
      <c r="AO243" s="270"/>
      <c r="AP243" s="270"/>
      <c r="AQ243" s="270"/>
      <c r="AR243" s="270"/>
      <c r="AS243" s="270"/>
      <c r="AT243" s="270"/>
      <c r="AU243" s="270"/>
      <c r="AV243" s="270"/>
      <c r="AW243" s="270"/>
      <c r="AX243" s="270"/>
      <c r="AY243" s="270"/>
      <c r="AZ243" s="270"/>
      <c r="BA243" s="270"/>
      <c r="BB243" s="270"/>
      <c r="BC243" s="270"/>
      <c r="BD243" s="270"/>
      <c r="BE243" s="270"/>
      <c r="BF243" s="270"/>
      <c r="BG243" s="270"/>
      <c r="BH243" s="270"/>
      <c r="BI243" s="270"/>
      <c r="BJ243" s="270"/>
      <c r="BK243" s="270"/>
      <c r="BL243" s="270"/>
      <c r="BM243" s="270"/>
      <c r="BN243" s="270"/>
      <c r="BO243" s="270"/>
      <c r="BP243" s="270"/>
      <c r="BQ243" s="270"/>
      <c r="BR243" s="270"/>
      <c r="BS243" s="270"/>
    </row>
    <row r="244" spans="1:95" x14ac:dyDescent="0.3">
      <c r="A244" s="270"/>
      <c r="B244" s="270">
        <v>995</v>
      </c>
      <c r="C244" s="270" t="s">
        <v>518</v>
      </c>
      <c r="D244" s="270" t="s">
        <v>519</v>
      </c>
      <c r="E244" s="270">
        <v>0</v>
      </c>
      <c r="F244" s="270">
        <v>0</v>
      </c>
      <c r="G244" s="270">
        <v>0</v>
      </c>
      <c r="H244" s="270">
        <v>0</v>
      </c>
      <c r="I244" s="270">
        <v>0.09</v>
      </c>
      <c r="J244" s="270">
        <v>0</v>
      </c>
      <c r="K244" s="270">
        <v>7.0000000000000007E-2</v>
      </c>
      <c r="L244" s="270">
        <v>0</v>
      </c>
      <c r="M244" s="270">
        <v>0</v>
      </c>
      <c r="N244" s="270">
        <v>0</v>
      </c>
      <c r="O244" s="270">
        <v>0</v>
      </c>
      <c r="P244" s="270">
        <v>0</v>
      </c>
      <c r="Q244" s="270">
        <v>0</v>
      </c>
      <c r="R244" s="270">
        <v>0</v>
      </c>
      <c r="S244" s="270">
        <v>0</v>
      </c>
      <c r="T244" s="270">
        <v>0</v>
      </c>
      <c r="U244" s="270">
        <v>0</v>
      </c>
      <c r="V244" s="270">
        <v>0</v>
      </c>
      <c r="W244" s="270">
        <v>0</v>
      </c>
      <c r="X244" s="270">
        <v>0</v>
      </c>
      <c r="Y244" s="270">
        <v>0</v>
      </c>
      <c r="Z244" s="270">
        <v>0</v>
      </c>
      <c r="AA244" s="270">
        <v>0.08</v>
      </c>
      <c r="AB244" s="270">
        <v>0</v>
      </c>
      <c r="AC244" s="270">
        <v>0</v>
      </c>
      <c r="AD244" s="270">
        <v>0</v>
      </c>
      <c r="AE244" s="270">
        <v>0</v>
      </c>
      <c r="AF244" s="270">
        <v>0</v>
      </c>
      <c r="AG244" s="270">
        <v>0</v>
      </c>
      <c r="AH244" s="270">
        <v>0</v>
      </c>
      <c r="AI244" s="270">
        <v>0</v>
      </c>
      <c r="AJ244" s="270">
        <v>0</v>
      </c>
      <c r="AK244" s="270">
        <v>0</v>
      </c>
      <c r="AL244" s="270">
        <v>0</v>
      </c>
      <c r="AM244" s="270">
        <v>0</v>
      </c>
      <c r="AN244" s="270">
        <v>0</v>
      </c>
      <c r="AO244" s="270">
        <v>0</v>
      </c>
      <c r="AP244" s="270">
        <v>0</v>
      </c>
      <c r="AQ244" s="270">
        <v>0</v>
      </c>
      <c r="AR244" s="270">
        <v>0</v>
      </c>
      <c r="AS244" s="270">
        <v>0</v>
      </c>
      <c r="AT244" s="270">
        <v>0</v>
      </c>
      <c r="AU244" s="270">
        <v>0</v>
      </c>
      <c r="AV244" s="270">
        <v>0</v>
      </c>
      <c r="AW244" s="270">
        <v>0</v>
      </c>
      <c r="AX244" s="270">
        <v>0</v>
      </c>
      <c r="AY244" s="270">
        <v>0.08</v>
      </c>
      <c r="AZ244" s="270">
        <v>0</v>
      </c>
      <c r="BA244" s="270">
        <v>0</v>
      </c>
      <c r="BB244" s="270">
        <v>0</v>
      </c>
      <c r="BC244" s="270">
        <v>0</v>
      </c>
      <c r="BD244" s="270">
        <v>0</v>
      </c>
      <c r="BE244" s="270">
        <v>0.09</v>
      </c>
      <c r="BF244" s="270">
        <v>0</v>
      </c>
      <c r="BG244" s="270">
        <v>0</v>
      </c>
      <c r="BH244" s="270">
        <v>0.08</v>
      </c>
      <c r="BI244" s="270">
        <v>0</v>
      </c>
      <c r="BJ244" s="270">
        <v>0</v>
      </c>
      <c r="BK244" s="270">
        <v>0</v>
      </c>
      <c r="BL244" s="270">
        <v>0.09</v>
      </c>
      <c r="BM244" s="270">
        <v>0</v>
      </c>
      <c r="BN244" s="270">
        <v>0</v>
      </c>
      <c r="BO244" s="270">
        <v>0</v>
      </c>
      <c r="BP244" s="270">
        <v>0</v>
      </c>
      <c r="BQ244" s="270">
        <v>0</v>
      </c>
      <c r="BR244" s="270">
        <v>0</v>
      </c>
      <c r="BS244" s="270">
        <v>0</v>
      </c>
      <c r="BT244" s="298">
        <v>0</v>
      </c>
      <c r="BU244" s="298">
        <v>0</v>
      </c>
      <c r="BV244" s="298">
        <v>0</v>
      </c>
      <c r="BW244" s="298">
        <v>0</v>
      </c>
      <c r="BX244" s="298">
        <v>0</v>
      </c>
      <c r="BY244" s="298">
        <v>0</v>
      </c>
      <c r="BZ244" s="298">
        <v>0</v>
      </c>
      <c r="CA244" s="298">
        <v>0</v>
      </c>
      <c r="CB244" s="298">
        <v>0</v>
      </c>
      <c r="CC244" s="298">
        <v>0.08</v>
      </c>
      <c r="CD244" s="298">
        <v>0</v>
      </c>
      <c r="CE244" s="298">
        <v>0.09</v>
      </c>
      <c r="CF244" s="298">
        <v>0</v>
      </c>
      <c r="CG244" s="298">
        <v>0</v>
      </c>
      <c r="CH244" s="298">
        <v>0</v>
      </c>
      <c r="CI244" s="298">
        <v>0.09</v>
      </c>
      <c r="CJ244" s="298">
        <v>0</v>
      </c>
      <c r="CK244" s="298">
        <v>0</v>
      </c>
      <c r="CL244" s="298">
        <v>0</v>
      </c>
      <c r="CM244" s="298">
        <v>0</v>
      </c>
      <c r="CN244" s="298">
        <v>0</v>
      </c>
      <c r="CO244" s="298">
        <v>0</v>
      </c>
      <c r="CP244" s="298">
        <v>0</v>
      </c>
      <c r="CQ244" s="298">
        <v>0</v>
      </c>
    </row>
    <row r="245" spans="1:95" x14ac:dyDescent="0.3">
      <c r="A245" s="270">
        <v>995</v>
      </c>
      <c r="B245" s="270">
        <v>996</v>
      </c>
      <c r="C245" s="270" t="s">
        <v>520</v>
      </c>
      <c r="D245" s="270" t="s">
        <v>521</v>
      </c>
      <c r="E245" s="270">
        <v>0</v>
      </c>
      <c r="F245" s="270">
        <v>0</v>
      </c>
      <c r="G245" s="270">
        <v>0.01</v>
      </c>
      <c r="H245" s="270">
        <v>0.01</v>
      </c>
      <c r="I245" s="270">
        <v>0.01</v>
      </c>
      <c r="J245" s="270">
        <v>0.01</v>
      </c>
      <c r="K245" s="270">
        <v>0.01</v>
      </c>
      <c r="L245" s="270">
        <v>0.01</v>
      </c>
      <c r="M245" s="270">
        <v>0</v>
      </c>
      <c r="N245" s="270">
        <v>0.01</v>
      </c>
      <c r="O245" s="270">
        <v>0.01</v>
      </c>
      <c r="P245" s="270">
        <v>0</v>
      </c>
      <c r="Q245" s="270">
        <v>0.01</v>
      </c>
      <c r="R245" s="270">
        <v>0</v>
      </c>
      <c r="S245" s="270">
        <v>0</v>
      </c>
      <c r="T245" s="270">
        <v>0</v>
      </c>
      <c r="U245" s="270">
        <v>0.01</v>
      </c>
      <c r="V245" s="270">
        <v>0</v>
      </c>
      <c r="W245" s="270">
        <v>0.01</v>
      </c>
      <c r="X245" s="270">
        <v>0</v>
      </c>
      <c r="Y245" s="270">
        <v>0.01</v>
      </c>
      <c r="Z245" s="270">
        <v>0</v>
      </c>
      <c r="AA245" s="270">
        <v>0.01</v>
      </c>
      <c r="AB245" s="270">
        <v>0.01</v>
      </c>
      <c r="AC245" s="270">
        <v>0.01</v>
      </c>
      <c r="AD245" s="270">
        <v>0.01</v>
      </c>
      <c r="AE245" s="270">
        <v>0.01</v>
      </c>
      <c r="AF245" s="270">
        <v>0</v>
      </c>
      <c r="AG245" s="270">
        <v>0.01</v>
      </c>
      <c r="AH245" s="270">
        <v>0</v>
      </c>
      <c r="AI245" s="270">
        <v>0.01</v>
      </c>
      <c r="AJ245" s="270">
        <v>0.01</v>
      </c>
      <c r="AK245" s="270">
        <v>0.01</v>
      </c>
      <c r="AL245" s="270">
        <v>0.01</v>
      </c>
      <c r="AM245" s="270">
        <v>0.01</v>
      </c>
      <c r="AN245" s="270">
        <v>0.01</v>
      </c>
      <c r="AO245" s="270">
        <v>0</v>
      </c>
      <c r="AP245" s="270">
        <v>0.01</v>
      </c>
      <c r="AQ245" s="270">
        <v>0.01</v>
      </c>
      <c r="AR245" s="270">
        <v>0</v>
      </c>
      <c r="AS245" s="270">
        <v>0</v>
      </c>
      <c r="AT245" s="270">
        <v>0</v>
      </c>
      <c r="AU245" s="270">
        <v>0</v>
      </c>
      <c r="AV245" s="270">
        <v>0.01</v>
      </c>
      <c r="AW245" s="270">
        <v>0.01</v>
      </c>
      <c r="AX245" s="270">
        <v>0.01</v>
      </c>
      <c r="AY245" s="270">
        <v>0</v>
      </c>
      <c r="AZ245" s="270">
        <v>0</v>
      </c>
      <c r="BA245" s="270">
        <v>0.01</v>
      </c>
      <c r="BB245" s="270">
        <v>0</v>
      </c>
      <c r="BC245" s="270">
        <v>0.01</v>
      </c>
      <c r="BD245" s="270">
        <v>0.01</v>
      </c>
      <c r="BE245" s="270">
        <v>0.01</v>
      </c>
      <c r="BF245" s="270">
        <v>0.01</v>
      </c>
      <c r="BG245" s="270">
        <v>0.01</v>
      </c>
      <c r="BH245" s="270">
        <v>0.01</v>
      </c>
      <c r="BI245" s="270">
        <v>0</v>
      </c>
      <c r="BJ245" s="270">
        <v>0</v>
      </c>
      <c r="BK245" s="270">
        <v>0</v>
      </c>
      <c r="BL245" s="270">
        <v>0.01</v>
      </c>
      <c r="BM245" s="270">
        <v>0.01</v>
      </c>
      <c r="BN245" s="270">
        <v>0</v>
      </c>
      <c r="BO245" s="270">
        <v>0</v>
      </c>
      <c r="BP245" s="270">
        <v>0.01</v>
      </c>
      <c r="BQ245" s="270">
        <v>0</v>
      </c>
      <c r="BR245" s="270">
        <v>0</v>
      </c>
      <c r="BS245" s="270">
        <v>0</v>
      </c>
      <c r="BT245" s="298">
        <v>0.01</v>
      </c>
      <c r="BU245" s="298">
        <v>0</v>
      </c>
      <c r="BV245" s="298">
        <v>0.01</v>
      </c>
      <c r="BW245" s="298">
        <v>0.01</v>
      </c>
      <c r="BX245" s="298">
        <v>0.01</v>
      </c>
      <c r="BY245" s="298">
        <v>0.01</v>
      </c>
      <c r="BZ245" s="298">
        <v>0.01</v>
      </c>
      <c r="CA245" s="298">
        <v>0.01</v>
      </c>
      <c r="CB245" s="298">
        <v>0</v>
      </c>
      <c r="CC245" s="298">
        <v>0.01</v>
      </c>
      <c r="CD245" s="298">
        <v>0</v>
      </c>
      <c r="CE245" s="298">
        <v>0.01</v>
      </c>
      <c r="CF245" s="298">
        <v>0.01</v>
      </c>
      <c r="CG245" s="298">
        <v>0.01</v>
      </c>
      <c r="CH245" s="298">
        <v>0.01</v>
      </c>
      <c r="CI245" s="298">
        <v>0.01</v>
      </c>
      <c r="CJ245" s="298">
        <v>0.01</v>
      </c>
      <c r="CK245" s="298">
        <v>0</v>
      </c>
      <c r="CL245" s="298">
        <v>0.01</v>
      </c>
      <c r="CM245" s="298">
        <v>0.01</v>
      </c>
      <c r="CN245" s="298">
        <v>0.01</v>
      </c>
      <c r="CO245" s="298">
        <v>0.01</v>
      </c>
      <c r="CP245" s="298">
        <v>0</v>
      </c>
      <c r="CQ245" s="298">
        <v>0</v>
      </c>
    </row>
    <row r="246" spans="1:95" x14ac:dyDescent="0.3">
      <c r="A246" s="270">
        <v>996</v>
      </c>
      <c r="B246" s="270">
        <v>997</v>
      </c>
      <c r="C246" s="270"/>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c r="AA246" s="270"/>
      <c r="AB246" s="270"/>
      <c r="AC246" s="270"/>
      <c r="AD246" s="270"/>
      <c r="AE246" s="270"/>
      <c r="AF246" s="270"/>
      <c r="AG246" s="270"/>
      <c r="AH246" s="270"/>
      <c r="AI246" s="270"/>
      <c r="AJ246" s="270"/>
      <c r="AK246" s="270"/>
      <c r="AL246" s="270"/>
      <c r="AM246" s="270"/>
      <c r="AN246" s="270"/>
      <c r="AO246" s="270"/>
      <c r="AP246" s="270"/>
      <c r="AQ246" s="270"/>
      <c r="AR246" s="270"/>
      <c r="AS246" s="270"/>
      <c r="AT246" s="270"/>
      <c r="AU246" s="270"/>
      <c r="AV246" s="270"/>
      <c r="AW246" s="270"/>
      <c r="AX246" s="270"/>
      <c r="AY246" s="270"/>
      <c r="AZ246" s="270"/>
      <c r="BA246" s="270"/>
      <c r="BB246" s="270"/>
      <c r="BC246" s="270"/>
      <c r="BD246" s="270"/>
      <c r="BE246" s="270"/>
      <c r="BF246" s="270"/>
      <c r="BG246" s="270"/>
      <c r="BH246" s="270"/>
      <c r="BI246" s="270"/>
      <c r="BJ246" s="270"/>
      <c r="BK246" s="270"/>
      <c r="BL246" s="270"/>
      <c r="BM246" s="270"/>
      <c r="BN246" s="270"/>
      <c r="BO246" s="270"/>
      <c r="BP246" s="270"/>
      <c r="BQ246" s="270"/>
      <c r="BR246" s="270"/>
      <c r="BS246" s="270"/>
    </row>
    <row r="247" spans="1:95" x14ac:dyDescent="0.3">
      <c r="A247" s="270">
        <v>998</v>
      </c>
      <c r="B247" s="270">
        <v>998</v>
      </c>
      <c r="C247" s="270" t="s">
        <v>291</v>
      </c>
      <c r="D247" s="270" t="s">
        <v>522</v>
      </c>
      <c r="E247" s="270">
        <v>50</v>
      </c>
      <c r="F247" s="270">
        <v>50</v>
      </c>
      <c r="G247" s="270">
        <v>50</v>
      </c>
      <c r="H247" s="270">
        <v>50</v>
      </c>
      <c r="I247" s="270">
        <v>50</v>
      </c>
      <c r="J247" s="270">
        <v>50</v>
      </c>
      <c r="K247" s="270">
        <v>50</v>
      </c>
      <c r="L247" s="270">
        <v>50</v>
      </c>
      <c r="M247" s="270">
        <v>50</v>
      </c>
      <c r="N247" s="270">
        <v>50</v>
      </c>
      <c r="O247" s="270">
        <v>50</v>
      </c>
      <c r="P247" s="270">
        <v>50</v>
      </c>
      <c r="Q247" s="270">
        <v>50</v>
      </c>
      <c r="R247" s="270">
        <v>50</v>
      </c>
      <c r="S247" s="270">
        <v>50</v>
      </c>
      <c r="T247" s="270">
        <v>50</v>
      </c>
      <c r="U247" s="270">
        <v>50</v>
      </c>
      <c r="V247" s="270">
        <v>50</v>
      </c>
      <c r="W247" s="270">
        <v>50</v>
      </c>
      <c r="X247" s="270">
        <v>50</v>
      </c>
      <c r="Y247" s="270">
        <v>50</v>
      </c>
      <c r="Z247" s="270">
        <v>50</v>
      </c>
      <c r="AA247" s="270">
        <v>50</v>
      </c>
      <c r="AB247" s="270">
        <v>50</v>
      </c>
      <c r="AC247" s="270">
        <v>50</v>
      </c>
      <c r="AD247" s="270">
        <v>50</v>
      </c>
      <c r="AE247" s="270">
        <v>50</v>
      </c>
      <c r="AF247" s="270">
        <v>50</v>
      </c>
      <c r="AG247" s="270">
        <v>50</v>
      </c>
      <c r="AH247" s="270">
        <v>50</v>
      </c>
      <c r="AI247" s="270">
        <v>50</v>
      </c>
      <c r="AJ247" s="270">
        <v>50</v>
      </c>
      <c r="AK247" s="270">
        <v>50</v>
      </c>
      <c r="AL247" s="270">
        <v>50</v>
      </c>
      <c r="AM247" s="270">
        <v>50</v>
      </c>
      <c r="AN247" s="270">
        <v>50</v>
      </c>
      <c r="AO247" s="270">
        <v>50</v>
      </c>
      <c r="AP247" s="270">
        <v>50</v>
      </c>
      <c r="AQ247" s="270">
        <v>50</v>
      </c>
      <c r="AR247" s="270">
        <v>50</v>
      </c>
      <c r="AS247" s="270">
        <v>50</v>
      </c>
      <c r="AT247" s="270">
        <v>50</v>
      </c>
      <c r="AU247" s="270">
        <v>50</v>
      </c>
      <c r="AV247" s="270">
        <v>50</v>
      </c>
      <c r="AW247" s="270">
        <v>50</v>
      </c>
      <c r="AX247" s="270">
        <v>50</v>
      </c>
      <c r="AY247" s="270">
        <v>50</v>
      </c>
      <c r="AZ247" s="270">
        <v>50</v>
      </c>
      <c r="BA247" s="270">
        <v>50</v>
      </c>
      <c r="BB247" s="270">
        <v>50</v>
      </c>
      <c r="BC247" s="270">
        <v>50</v>
      </c>
      <c r="BD247" s="270">
        <v>50</v>
      </c>
      <c r="BE247" s="270">
        <v>50</v>
      </c>
      <c r="BF247" s="270">
        <v>50</v>
      </c>
      <c r="BG247" s="270">
        <v>50</v>
      </c>
      <c r="BH247" s="270">
        <v>50</v>
      </c>
      <c r="BI247" s="270">
        <v>50</v>
      </c>
      <c r="BJ247" s="270">
        <v>50</v>
      </c>
      <c r="BK247" s="270">
        <v>50</v>
      </c>
      <c r="BL247" s="270">
        <v>50</v>
      </c>
      <c r="BM247" s="270">
        <v>50</v>
      </c>
      <c r="BN247" s="270">
        <v>50</v>
      </c>
      <c r="BO247" s="270">
        <v>50</v>
      </c>
      <c r="BP247" s="270">
        <v>50</v>
      </c>
      <c r="BQ247" s="270">
        <v>50</v>
      </c>
      <c r="BR247" s="270">
        <v>50</v>
      </c>
      <c r="BS247" s="270">
        <v>50</v>
      </c>
      <c r="BT247" s="298">
        <v>50</v>
      </c>
      <c r="BU247" s="298">
        <v>50</v>
      </c>
      <c r="BV247" s="298">
        <v>50</v>
      </c>
      <c r="BW247" s="298">
        <v>50</v>
      </c>
      <c r="BX247" s="298">
        <v>50</v>
      </c>
      <c r="BY247" s="298">
        <v>50</v>
      </c>
      <c r="BZ247" s="298">
        <v>50</v>
      </c>
      <c r="CA247" s="298">
        <v>50</v>
      </c>
      <c r="CB247" s="298">
        <v>50</v>
      </c>
      <c r="CC247" s="298">
        <v>50</v>
      </c>
      <c r="CD247" s="298">
        <v>50</v>
      </c>
      <c r="CE247" s="298">
        <v>50</v>
      </c>
      <c r="CF247" s="298">
        <v>50</v>
      </c>
      <c r="CG247" s="298">
        <v>50</v>
      </c>
      <c r="CH247" s="298">
        <v>50</v>
      </c>
      <c r="CI247" s="298">
        <v>50</v>
      </c>
      <c r="CJ247" s="298">
        <v>50</v>
      </c>
      <c r="CK247" s="298">
        <v>50</v>
      </c>
      <c r="CL247" s="298">
        <v>50</v>
      </c>
      <c r="CM247" s="298">
        <v>50</v>
      </c>
      <c r="CN247" s="298">
        <v>50</v>
      </c>
      <c r="CO247" s="298">
        <v>50</v>
      </c>
      <c r="CP247" s="298">
        <v>50</v>
      </c>
      <c r="CQ247" s="298">
        <v>50</v>
      </c>
    </row>
    <row r="248" spans="1:95" x14ac:dyDescent="0.3">
      <c r="A248" s="270">
        <v>999</v>
      </c>
      <c r="B248" s="270">
        <v>999</v>
      </c>
      <c r="C248" s="270" t="s">
        <v>292</v>
      </c>
      <c r="D248" s="270" t="s">
        <v>523</v>
      </c>
      <c r="E248" s="270">
        <v>50372</v>
      </c>
      <c r="F248" s="270">
        <v>50457</v>
      </c>
      <c r="G248" s="270">
        <v>50373</v>
      </c>
      <c r="H248" s="270">
        <v>50374</v>
      </c>
      <c r="I248" s="270">
        <v>50375</v>
      </c>
      <c r="J248" s="270">
        <v>50376</v>
      </c>
      <c r="K248" s="270">
        <v>50377</v>
      </c>
      <c r="L248" s="270">
        <v>50378</v>
      </c>
      <c r="M248" s="270">
        <v>50379</v>
      </c>
      <c r="N248" s="270">
        <v>50530</v>
      </c>
      <c r="O248" s="270">
        <v>50380</v>
      </c>
      <c r="P248" s="270">
        <v>50483</v>
      </c>
      <c r="Q248" s="270">
        <v>50381</v>
      </c>
      <c r="R248" s="270">
        <v>50501</v>
      </c>
      <c r="S248" s="270">
        <v>50494</v>
      </c>
      <c r="T248" s="270">
        <v>50382</v>
      </c>
      <c r="U248" s="270">
        <v>50383</v>
      </c>
      <c r="V248" s="270">
        <v>50384</v>
      </c>
      <c r="W248" s="270">
        <v>50557</v>
      </c>
      <c r="X248" s="270">
        <v>50385</v>
      </c>
      <c r="Y248" s="270">
        <v>50386</v>
      </c>
      <c r="Z248" s="270">
        <v>50388</v>
      </c>
      <c r="AA248" s="270">
        <v>50387</v>
      </c>
      <c r="AB248" s="270">
        <v>50389</v>
      </c>
      <c r="AC248" s="270">
        <v>50500</v>
      </c>
      <c r="AD248" s="270">
        <v>50390</v>
      </c>
      <c r="AE248" s="270">
        <v>50391</v>
      </c>
      <c r="AF248" s="270">
        <v>50531</v>
      </c>
      <c r="AG248" s="270">
        <v>50392</v>
      </c>
      <c r="AH248" s="270">
        <v>50458</v>
      </c>
      <c r="AI248" s="270">
        <v>50393</v>
      </c>
      <c r="AJ248" s="270">
        <v>50544</v>
      </c>
      <c r="AK248" s="270">
        <v>50394</v>
      </c>
      <c r="AL248" s="270">
        <v>50395</v>
      </c>
      <c r="AM248" s="270">
        <v>50396</v>
      </c>
      <c r="AN248" s="270">
        <v>50397</v>
      </c>
      <c r="AO248" s="270">
        <v>50550</v>
      </c>
      <c r="AP248" s="270">
        <v>50398</v>
      </c>
      <c r="AQ248" s="270">
        <v>50399</v>
      </c>
      <c r="AR248" s="270">
        <v>50400</v>
      </c>
      <c r="AS248" s="270">
        <v>50532</v>
      </c>
      <c r="AT248" s="270">
        <v>50401</v>
      </c>
      <c r="AU248" s="270">
        <v>50402</v>
      </c>
      <c r="AV248" s="270">
        <v>50485</v>
      </c>
      <c r="AW248" s="270">
        <v>50403</v>
      </c>
      <c r="AX248" s="270">
        <v>50404</v>
      </c>
      <c r="AY248" s="270">
        <v>50405</v>
      </c>
      <c r="AZ248" s="270">
        <v>50533</v>
      </c>
      <c r="BA248" s="270">
        <v>50406</v>
      </c>
      <c r="BB248" s="270">
        <v>50565</v>
      </c>
      <c r="BC248" s="270">
        <v>50407</v>
      </c>
      <c r="BD248" s="270">
        <v>50486</v>
      </c>
      <c r="BE248" s="270">
        <v>50408</v>
      </c>
      <c r="BF248" s="270">
        <v>50409</v>
      </c>
      <c r="BG248" s="270">
        <v>50410</v>
      </c>
      <c r="BH248" s="270">
        <v>50411</v>
      </c>
      <c r="BI248" s="270">
        <v>50412</v>
      </c>
      <c r="BJ248" s="270">
        <v>50488</v>
      </c>
      <c r="BK248" s="270">
        <v>50413</v>
      </c>
      <c r="BL248" s="270">
        <v>50414</v>
      </c>
      <c r="BM248" s="270">
        <v>50415</v>
      </c>
      <c r="BN248" s="270">
        <v>50416</v>
      </c>
      <c r="BO248" s="270">
        <v>50534</v>
      </c>
      <c r="BP248" s="270">
        <v>50417</v>
      </c>
      <c r="BQ248" s="270">
        <v>50418</v>
      </c>
      <c r="BR248" s="270">
        <v>50546</v>
      </c>
      <c r="BS248" s="270">
        <v>50552</v>
      </c>
      <c r="BT248" s="298">
        <v>50419</v>
      </c>
      <c r="BU248" s="298">
        <v>50441</v>
      </c>
      <c r="BV248" s="298">
        <v>50420</v>
      </c>
      <c r="BW248" s="298">
        <v>50421</v>
      </c>
      <c r="BX248" s="298">
        <v>50422</v>
      </c>
      <c r="BY248" s="298">
        <v>50535</v>
      </c>
      <c r="BZ248" s="298">
        <v>50423</v>
      </c>
      <c r="CA248" s="298">
        <v>50424</v>
      </c>
      <c r="CB248" s="298">
        <v>50425</v>
      </c>
      <c r="CC248" s="298">
        <v>50426</v>
      </c>
      <c r="CD248" s="298">
        <v>50537</v>
      </c>
      <c r="CE248" s="298">
        <v>50427</v>
      </c>
      <c r="CF248" s="298">
        <v>50428</v>
      </c>
      <c r="CG248" s="298">
        <v>50429</v>
      </c>
      <c r="CH248" s="298">
        <v>50431</v>
      </c>
      <c r="CI248" s="298">
        <v>50430</v>
      </c>
      <c r="CJ248" s="298">
        <v>50432</v>
      </c>
      <c r="CK248" s="298">
        <v>50453</v>
      </c>
      <c r="CL248" s="298">
        <v>50433</v>
      </c>
      <c r="CM248" s="298">
        <v>50435</v>
      </c>
      <c r="CN248" s="298">
        <v>50436</v>
      </c>
      <c r="CO248" s="298">
        <v>50499</v>
      </c>
      <c r="CP248" s="298">
        <v>50438</v>
      </c>
      <c r="CQ248" s="298">
        <v>50439</v>
      </c>
    </row>
    <row r="249" spans="1:95" x14ac:dyDescent="0.3">
      <c r="A249" s="270"/>
      <c r="B249" s="270">
        <v>1000</v>
      </c>
      <c r="C249" s="270"/>
      <c r="D249" s="270"/>
      <c r="E249" s="270" t="s">
        <v>703</v>
      </c>
      <c r="F249" s="270" t="s">
        <v>703</v>
      </c>
      <c r="G249" s="270" t="s">
        <v>1782</v>
      </c>
      <c r="H249" s="270" t="s">
        <v>1782</v>
      </c>
      <c r="I249" s="270" t="s">
        <v>1782</v>
      </c>
      <c r="J249" s="270" t="s">
        <v>1782</v>
      </c>
      <c r="K249" s="270" t="s">
        <v>1782</v>
      </c>
      <c r="L249" s="270" t="s">
        <v>1782</v>
      </c>
      <c r="M249" s="270" t="s">
        <v>703</v>
      </c>
      <c r="N249" s="270" t="s">
        <v>1782</v>
      </c>
      <c r="O249" s="270" t="s">
        <v>1782</v>
      </c>
      <c r="P249" s="270"/>
      <c r="Q249" s="270" t="s">
        <v>1782</v>
      </c>
      <c r="R249" s="270" t="s">
        <v>703</v>
      </c>
      <c r="S249" s="270" t="s">
        <v>703</v>
      </c>
      <c r="T249" s="270" t="s">
        <v>703</v>
      </c>
      <c r="U249" s="270" t="s">
        <v>1782</v>
      </c>
      <c r="V249" s="270" t="s">
        <v>703</v>
      </c>
      <c r="W249" s="270" t="s">
        <v>1782</v>
      </c>
      <c r="X249" s="270" t="s">
        <v>703</v>
      </c>
      <c r="Y249" s="270" t="s">
        <v>1782</v>
      </c>
      <c r="Z249" s="270" t="s">
        <v>703</v>
      </c>
      <c r="AA249" s="270" t="s">
        <v>1782</v>
      </c>
      <c r="AB249" s="270" t="s">
        <v>1782</v>
      </c>
      <c r="AC249" s="270" t="s">
        <v>1782</v>
      </c>
      <c r="AD249" s="270" t="s">
        <v>1782</v>
      </c>
      <c r="AE249" s="270" t="s">
        <v>1782</v>
      </c>
      <c r="AF249" s="270" t="s">
        <v>703</v>
      </c>
      <c r="AG249" s="270" t="s">
        <v>1782</v>
      </c>
      <c r="AH249" s="270" t="s">
        <v>703</v>
      </c>
      <c r="AI249" s="270" t="s">
        <v>1782</v>
      </c>
      <c r="AJ249" s="270" t="s">
        <v>1782</v>
      </c>
      <c r="AK249" s="270" t="s">
        <v>1782</v>
      </c>
      <c r="AL249" s="270" t="s">
        <v>1782</v>
      </c>
      <c r="AM249" s="270" t="s">
        <v>1782</v>
      </c>
      <c r="AN249" s="270" t="s">
        <v>1782</v>
      </c>
      <c r="AO249" s="270" t="s">
        <v>703</v>
      </c>
      <c r="AP249" s="270" t="s">
        <v>1782</v>
      </c>
      <c r="AQ249" s="270" t="s">
        <v>1782</v>
      </c>
      <c r="AR249" s="270" t="s">
        <v>703</v>
      </c>
      <c r="AS249" s="270" t="s">
        <v>703</v>
      </c>
      <c r="AT249" s="270" t="s">
        <v>703</v>
      </c>
      <c r="AU249" s="270" t="s">
        <v>703</v>
      </c>
      <c r="AV249" s="270" t="s">
        <v>1782</v>
      </c>
      <c r="AW249" s="270" t="s">
        <v>1782</v>
      </c>
      <c r="AX249" s="270" t="s">
        <v>1782</v>
      </c>
      <c r="AY249" s="270" t="s">
        <v>703</v>
      </c>
      <c r="AZ249" s="270" t="s">
        <v>703</v>
      </c>
      <c r="BA249" s="270" t="s">
        <v>1782</v>
      </c>
      <c r="BB249" s="270" t="s">
        <v>703</v>
      </c>
      <c r="BC249" s="270" t="s">
        <v>1782</v>
      </c>
      <c r="BD249" s="270" t="s">
        <v>1782</v>
      </c>
      <c r="BE249" s="270" t="s">
        <v>1782</v>
      </c>
      <c r="BF249" s="270" t="s">
        <v>1782</v>
      </c>
      <c r="BG249" s="270" t="s">
        <v>1782</v>
      </c>
      <c r="BH249" s="270" t="s">
        <v>1782</v>
      </c>
      <c r="BI249" s="270" t="s">
        <v>703</v>
      </c>
      <c r="BJ249" s="270" t="s">
        <v>703</v>
      </c>
      <c r="BK249" s="270" t="s">
        <v>703</v>
      </c>
      <c r="BL249" s="270" t="s">
        <v>1782</v>
      </c>
      <c r="BM249" s="270" t="s">
        <v>1782</v>
      </c>
      <c r="BN249" s="270" t="s">
        <v>703</v>
      </c>
      <c r="BO249" s="270" t="s">
        <v>703</v>
      </c>
      <c r="BP249" s="270" t="s">
        <v>1782</v>
      </c>
      <c r="BQ249" s="270" t="s">
        <v>703</v>
      </c>
      <c r="BR249" s="270" t="s">
        <v>703</v>
      </c>
      <c r="BS249" s="270" t="s">
        <v>703</v>
      </c>
      <c r="BT249" s="298" t="s">
        <v>1782</v>
      </c>
      <c r="BU249" s="298" t="s">
        <v>703</v>
      </c>
      <c r="BV249" s="298" t="s">
        <v>1782</v>
      </c>
      <c r="BW249" s="298" t="s">
        <v>1782</v>
      </c>
      <c r="BX249" s="298" t="s">
        <v>1782</v>
      </c>
      <c r="BY249" s="298" t="s">
        <v>1782</v>
      </c>
      <c r="BZ249" s="298" t="s">
        <v>1782</v>
      </c>
      <c r="CA249" s="298" t="s">
        <v>1782</v>
      </c>
      <c r="CB249" s="298" t="s">
        <v>703</v>
      </c>
      <c r="CC249" s="298" t="s">
        <v>1782</v>
      </c>
      <c r="CD249" s="298" t="s">
        <v>703</v>
      </c>
      <c r="CE249" s="298" t="s">
        <v>1782</v>
      </c>
      <c r="CF249" s="298" t="s">
        <v>1782</v>
      </c>
      <c r="CG249" s="298" t="s">
        <v>1782</v>
      </c>
      <c r="CH249" s="298" t="s">
        <v>1782</v>
      </c>
      <c r="CI249" s="298" t="s">
        <v>1782</v>
      </c>
      <c r="CJ249" s="298" t="s">
        <v>1782</v>
      </c>
      <c r="CK249" s="298" t="s">
        <v>703</v>
      </c>
      <c r="CL249" s="298" t="s">
        <v>1782</v>
      </c>
      <c r="CM249" s="298" t="s">
        <v>1782</v>
      </c>
      <c r="CN249" s="298" t="s">
        <v>1782</v>
      </c>
      <c r="CO249" s="298" t="s">
        <v>1782</v>
      </c>
      <c r="CP249" s="298" t="s">
        <v>703</v>
      </c>
      <c r="CQ249" s="298" t="s">
        <v>703</v>
      </c>
    </row>
    <row r="250" spans="1:95" x14ac:dyDescent="0.3">
      <c r="A250" s="270"/>
      <c r="B250" s="270">
        <v>537</v>
      </c>
      <c r="C250" s="270"/>
      <c r="D250" s="270"/>
      <c r="E250" s="270" t="s">
        <v>703</v>
      </c>
      <c r="F250" s="270" t="s">
        <v>52</v>
      </c>
      <c r="G250" s="270" t="s">
        <v>52</v>
      </c>
      <c r="H250" s="270" t="s">
        <v>52</v>
      </c>
      <c r="I250" s="270" t="s">
        <v>51</v>
      </c>
      <c r="J250" s="270" t="s">
        <v>52</v>
      </c>
      <c r="K250" s="270" t="s">
        <v>51</v>
      </c>
      <c r="L250" s="270" t="s">
        <v>52</v>
      </c>
      <c r="M250" s="270" t="s">
        <v>703</v>
      </c>
      <c r="N250" s="270" t="s">
        <v>52</v>
      </c>
      <c r="O250" s="270" t="s">
        <v>52</v>
      </c>
      <c r="P250" s="270" t="s">
        <v>52</v>
      </c>
      <c r="Q250" s="270" t="s">
        <v>51</v>
      </c>
      <c r="R250" s="270" t="s">
        <v>703</v>
      </c>
      <c r="S250" s="270" t="s">
        <v>52</v>
      </c>
      <c r="T250" s="270" t="s">
        <v>52</v>
      </c>
      <c r="U250" s="270" t="s">
        <v>52</v>
      </c>
      <c r="V250" s="270" t="s">
        <v>52</v>
      </c>
      <c r="W250" s="270" t="s">
        <v>52</v>
      </c>
      <c r="X250" s="270" t="s">
        <v>703</v>
      </c>
      <c r="Y250" s="270" t="s">
        <v>52</v>
      </c>
      <c r="Z250" s="270" t="s">
        <v>52</v>
      </c>
      <c r="AA250" s="270" t="s">
        <v>52</v>
      </c>
      <c r="AB250" s="270" t="s">
        <v>52</v>
      </c>
      <c r="AC250" s="270" t="s">
        <v>52</v>
      </c>
      <c r="AD250" s="270" t="s">
        <v>52</v>
      </c>
      <c r="AE250" s="270" t="s">
        <v>51</v>
      </c>
      <c r="AF250" s="270" t="s">
        <v>52</v>
      </c>
      <c r="AG250" s="270" t="s">
        <v>52</v>
      </c>
      <c r="AH250" s="270" t="s">
        <v>703</v>
      </c>
      <c r="AI250" s="270" t="s">
        <v>52</v>
      </c>
      <c r="AJ250" s="270" t="s">
        <v>51</v>
      </c>
      <c r="AK250" s="270" t="s">
        <v>52</v>
      </c>
      <c r="AL250" s="270" t="s">
        <v>52</v>
      </c>
      <c r="AM250" s="270" t="s">
        <v>703</v>
      </c>
      <c r="AN250" s="270" t="s">
        <v>51</v>
      </c>
      <c r="AO250" s="270" t="s">
        <v>703</v>
      </c>
      <c r="AP250" s="270" t="s">
        <v>51</v>
      </c>
      <c r="AQ250" s="270" t="s">
        <v>51</v>
      </c>
      <c r="AR250" s="270" t="s">
        <v>703</v>
      </c>
      <c r="AS250" s="270" t="s">
        <v>52</v>
      </c>
      <c r="AT250" s="270" t="s">
        <v>52</v>
      </c>
      <c r="AU250" s="270" t="s">
        <v>703</v>
      </c>
      <c r="AV250" s="270" t="s">
        <v>51</v>
      </c>
      <c r="AW250" s="270" t="s">
        <v>52</v>
      </c>
      <c r="AX250" s="270" t="s">
        <v>52</v>
      </c>
      <c r="AY250" s="270" t="s">
        <v>52</v>
      </c>
      <c r="AZ250" s="270" t="s">
        <v>52</v>
      </c>
      <c r="BA250" s="270" t="s">
        <v>52</v>
      </c>
      <c r="BB250" s="270" t="s">
        <v>52</v>
      </c>
      <c r="BC250" s="270" t="s">
        <v>51</v>
      </c>
      <c r="BD250" s="270" t="s">
        <v>51</v>
      </c>
      <c r="BE250" s="270" t="s">
        <v>52</v>
      </c>
      <c r="BF250" s="270" t="s">
        <v>51</v>
      </c>
      <c r="BG250" s="270" t="s">
        <v>52</v>
      </c>
      <c r="BH250" s="270" t="s">
        <v>51</v>
      </c>
      <c r="BI250" s="270" t="s">
        <v>703</v>
      </c>
      <c r="BJ250" s="270" t="s">
        <v>52</v>
      </c>
      <c r="BK250" s="270" t="s">
        <v>52</v>
      </c>
      <c r="BL250" s="270" t="s">
        <v>51</v>
      </c>
      <c r="BM250" s="270" t="s">
        <v>51</v>
      </c>
      <c r="BN250" s="270" t="s">
        <v>703</v>
      </c>
      <c r="BO250" s="270" t="s">
        <v>52</v>
      </c>
      <c r="BP250" s="270" t="s">
        <v>52</v>
      </c>
      <c r="BQ250" s="270" t="s">
        <v>52</v>
      </c>
      <c r="BR250" s="270" t="s">
        <v>703</v>
      </c>
      <c r="BS250" s="270" t="s">
        <v>703</v>
      </c>
      <c r="BT250" s="298" t="s">
        <v>52</v>
      </c>
      <c r="BU250" s="298" t="s">
        <v>52</v>
      </c>
      <c r="BV250" s="298" t="s">
        <v>52</v>
      </c>
      <c r="BW250" s="298" t="s">
        <v>51</v>
      </c>
      <c r="BX250" s="298" t="s">
        <v>52</v>
      </c>
      <c r="BY250" s="298" t="s">
        <v>52</v>
      </c>
      <c r="BZ250" s="298" t="s">
        <v>703</v>
      </c>
      <c r="CA250" s="298" t="s">
        <v>52</v>
      </c>
      <c r="CB250" s="298" t="s">
        <v>703</v>
      </c>
      <c r="CC250" s="298" t="s">
        <v>51</v>
      </c>
      <c r="CD250" s="298" t="s">
        <v>52</v>
      </c>
      <c r="CE250" s="298" t="s">
        <v>52</v>
      </c>
      <c r="CF250" s="298" t="s">
        <v>52</v>
      </c>
      <c r="CG250" s="298" t="s">
        <v>51</v>
      </c>
      <c r="CH250" s="298" t="s">
        <v>51</v>
      </c>
      <c r="CI250" s="298" t="s">
        <v>51</v>
      </c>
      <c r="CJ250" s="298" t="s">
        <v>52</v>
      </c>
      <c r="CK250" s="298" t="s">
        <v>52</v>
      </c>
      <c r="CL250" s="298" t="s">
        <v>51</v>
      </c>
      <c r="CM250" s="298" t="s">
        <v>51</v>
      </c>
      <c r="CN250" s="298" t="s">
        <v>52</v>
      </c>
      <c r="CO250" s="298" t="s">
        <v>52</v>
      </c>
      <c r="CP250" s="298" t="s">
        <v>52</v>
      </c>
      <c r="CQ250" s="298" t="s">
        <v>703</v>
      </c>
    </row>
    <row r="251" spans="1:95" x14ac:dyDescent="0.3">
      <c r="A251" s="270"/>
      <c r="B251" s="270">
        <v>538</v>
      </c>
      <c r="C251" s="270"/>
      <c r="D251" s="270"/>
      <c r="E251" s="270" t="s">
        <v>703</v>
      </c>
      <c r="F251" s="270" t="s">
        <v>52</v>
      </c>
      <c r="G251" s="270" t="s">
        <v>51</v>
      </c>
      <c r="H251" s="270" t="s">
        <v>52</v>
      </c>
      <c r="I251" s="270" t="s">
        <v>51</v>
      </c>
      <c r="J251" s="270" t="s">
        <v>51</v>
      </c>
      <c r="K251" s="270" t="s">
        <v>51</v>
      </c>
      <c r="L251" s="270" t="s">
        <v>52</v>
      </c>
      <c r="M251" s="270" t="s">
        <v>52</v>
      </c>
      <c r="N251" s="270" t="s">
        <v>52</v>
      </c>
      <c r="O251" s="270" t="s">
        <v>52</v>
      </c>
      <c r="P251" s="270" t="s">
        <v>52</v>
      </c>
      <c r="Q251" s="270" t="s">
        <v>52</v>
      </c>
      <c r="R251" s="270" t="s">
        <v>703</v>
      </c>
      <c r="S251" s="270" t="s">
        <v>52</v>
      </c>
      <c r="T251" s="270" t="s">
        <v>52</v>
      </c>
      <c r="U251" s="270" t="s">
        <v>52</v>
      </c>
      <c r="V251" s="270" t="s">
        <v>52</v>
      </c>
      <c r="W251" s="270" t="s">
        <v>52</v>
      </c>
      <c r="X251" s="270" t="s">
        <v>703</v>
      </c>
      <c r="Y251" s="270" t="s">
        <v>52</v>
      </c>
      <c r="Z251" s="270" t="s">
        <v>52</v>
      </c>
      <c r="AA251" s="270" t="s">
        <v>52</v>
      </c>
      <c r="AB251" s="270" t="s">
        <v>52</v>
      </c>
      <c r="AC251" s="270" t="s">
        <v>52</v>
      </c>
      <c r="AD251" s="270" t="s">
        <v>52</v>
      </c>
      <c r="AE251" s="270" t="s">
        <v>51</v>
      </c>
      <c r="AF251" s="270" t="s">
        <v>52</v>
      </c>
      <c r="AG251" s="270" t="s">
        <v>52</v>
      </c>
      <c r="AH251" s="270" t="s">
        <v>703</v>
      </c>
      <c r="AI251" s="270" t="s">
        <v>52</v>
      </c>
      <c r="AJ251" s="270" t="s">
        <v>51</v>
      </c>
      <c r="AK251" s="270" t="s">
        <v>52</v>
      </c>
      <c r="AL251" s="270" t="s">
        <v>51</v>
      </c>
      <c r="AM251" s="270" t="s">
        <v>703</v>
      </c>
      <c r="AN251" s="270" t="s">
        <v>52</v>
      </c>
      <c r="AO251" s="270" t="s">
        <v>703</v>
      </c>
      <c r="AP251" s="270" t="s">
        <v>51</v>
      </c>
      <c r="AQ251" s="270" t="s">
        <v>51</v>
      </c>
      <c r="AR251" s="270" t="s">
        <v>703</v>
      </c>
      <c r="AS251" s="270" t="s">
        <v>52</v>
      </c>
      <c r="AT251" s="270" t="s">
        <v>52</v>
      </c>
      <c r="AU251" s="270" t="s">
        <v>703</v>
      </c>
      <c r="AV251" s="270" t="s">
        <v>52</v>
      </c>
      <c r="AW251" s="270" t="s">
        <v>52</v>
      </c>
      <c r="AX251" s="270" t="s">
        <v>52</v>
      </c>
      <c r="AY251" s="270" t="s">
        <v>52</v>
      </c>
      <c r="AZ251" s="270" t="s">
        <v>52</v>
      </c>
      <c r="BA251" s="270" t="s">
        <v>52</v>
      </c>
      <c r="BB251" s="270" t="s">
        <v>703</v>
      </c>
      <c r="BC251" s="270" t="s">
        <v>51</v>
      </c>
      <c r="BD251" s="270" t="s">
        <v>51</v>
      </c>
      <c r="BE251" s="270" t="s">
        <v>52</v>
      </c>
      <c r="BF251" s="270" t="s">
        <v>52</v>
      </c>
      <c r="BG251" s="270" t="s">
        <v>52</v>
      </c>
      <c r="BH251" s="270" t="s">
        <v>51</v>
      </c>
      <c r="BI251" s="270" t="s">
        <v>703</v>
      </c>
      <c r="BJ251" s="270" t="s">
        <v>52</v>
      </c>
      <c r="BK251" s="270" t="s">
        <v>52</v>
      </c>
      <c r="BL251" s="270" t="s">
        <v>51</v>
      </c>
      <c r="BM251" s="270" t="s">
        <v>51</v>
      </c>
      <c r="BN251" s="270" t="s">
        <v>703</v>
      </c>
      <c r="BO251" s="270" t="s">
        <v>703</v>
      </c>
      <c r="BP251" s="270" t="s">
        <v>52</v>
      </c>
      <c r="BQ251" s="270" t="s">
        <v>52</v>
      </c>
      <c r="BR251" s="270" t="s">
        <v>703</v>
      </c>
      <c r="BS251" s="270" t="s">
        <v>703</v>
      </c>
      <c r="BT251" s="298" t="s">
        <v>52</v>
      </c>
      <c r="BU251" s="298" t="s">
        <v>52</v>
      </c>
      <c r="BV251" s="298" t="s">
        <v>52</v>
      </c>
      <c r="BW251" s="298" t="s">
        <v>51</v>
      </c>
      <c r="BX251" s="298" t="s">
        <v>52</v>
      </c>
      <c r="BY251" s="298" t="s">
        <v>52</v>
      </c>
      <c r="BZ251" s="298" t="s">
        <v>703</v>
      </c>
      <c r="CA251" s="298" t="s">
        <v>52</v>
      </c>
      <c r="CB251" s="298" t="s">
        <v>703</v>
      </c>
      <c r="CC251" s="298" t="s">
        <v>51</v>
      </c>
      <c r="CD251" s="298" t="s">
        <v>52</v>
      </c>
      <c r="CE251" s="298" t="s">
        <v>51</v>
      </c>
      <c r="CF251" s="298" t="s">
        <v>52</v>
      </c>
      <c r="CG251" s="298" t="s">
        <v>51</v>
      </c>
      <c r="CH251" s="298" t="s">
        <v>51</v>
      </c>
      <c r="CI251" s="298" t="s">
        <v>52</v>
      </c>
      <c r="CJ251" s="298" t="s">
        <v>51</v>
      </c>
      <c r="CK251" s="298" t="s">
        <v>52</v>
      </c>
      <c r="CL251" s="298" t="s">
        <v>51</v>
      </c>
      <c r="CM251" s="298" t="s">
        <v>52</v>
      </c>
      <c r="CN251" s="298" t="s">
        <v>52</v>
      </c>
      <c r="CO251" s="298" t="s">
        <v>52</v>
      </c>
      <c r="CP251" s="298" t="s">
        <v>52</v>
      </c>
      <c r="CQ251" s="298" t="s">
        <v>703</v>
      </c>
    </row>
    <row r="252" spans="1:95" x14ac:dyDescent="0.3">
      <c r="A252" s="270"/>
      <c r="B252" s="270"/>
      <c r="C252" s="270" t="s">
        <v>609</v>
      </c>
      <c r="D252" s="270"/>
      <c r="E252" s="1112">
        <v>0</v>
      </c>
      <c r="F252" s="1112">
        <v>274299</v>
      </c>
      <c r="G252" s="1112">
        <v>474040</v>
      </c>
      <c r="H252" s="1112">
        <v>2994239</v>
      </c>
      <c r="I252" s="270">
        <v>2712782</v>
      </c>
      <c r="J252" s="1112">
        <v>321141</v>
      </c>
      <c r="K252" s="1112">
        <v>57507703</v>
      </c>
      <c r="L252" s="1112">
        <v>621667</v>
      </c>
      <c r="M252" s="1112">
        <v>0</v>
      </c>
      <c r="N252" s="270">
        <v>552207</v>
      </c>
      <c r="O252" s="1112">
        <v>720666</v>
      </c>
      <c r="P252" s="270">
        <v>0</v>
      </c>
      <c r="Q252" s="1112">
        <v>354586</v>
      </c>
      <c r="R252" s="1112">
        <v>522287</v>
      </c>
      <c r="S252" s="270">
        <v>0</v>
      </c>
      <c r="T252" s="1112">
        <v>0</v>
      </c>
      <c r="U252" s="1112">
        <v>3814501</v>
      </c>
      <c r="V252" s="1112">
        <v>374593</v>
      </c>
      <c r="W252" s="1112">
        <v>1070158</v>
      </c>
      <c r="X252" s="1112">
        <v>0</v>
      </c>
      <c r="Y252" s="1112">
        <v>2119736</v>
      </c>
      <c r="Z252" s="270">
        <v>0</v>
      </c>
      <c r="AA252" s="1112">
        <v>29825769</v>
      </c>
      <c r="AB252" s="1112">
        <v>2848465</v>
      </c>
      <c r="AC252" s="1112">
        <v>363237</v>
      </c>
      <c r="AD252" s="1112">
        <v>280020</v>
      </c>
      <c r="AE252" s="1112">
        <v>12510283</v>
      </c>
      <c r="AF252" s="270">
        <v>0</v>
      </c>
      <c r="AG252" s="270">
        <v>723724</v>
      </c>
      <c r="AH252" s="1112">
        <v>0</v>
      </c>
      <c r="AI252" s="1112">
        <v>215863</v>
      </c>
      <c r="AJ252" s="1112">
        <v>2503216</v>
      </c>
      <c r="AK252" s="1112">
        <v>2190414</v>
      </c>
      <c r="AL252" s="270">
        <v>1796607</v>
      </c>
      <c r="AM252" s="270">
        <v>0</v>
      </c>
      <c r="AN252" s="1112">
        <v>47288</v>
      </c>
      <c r="AO252" s="1112">
        <v>0</v>
      </c>
      <c r="AP252" s="1112">
        <v>4899253</v>
      </c>
      <c r="AQ252" s="270">
        <v>708162</v>
      </c>
      <c r="AR252" s="1112">
        <v>0</v>
      </c>
      <c r="AS252" s="1112">
        <v>0</v>
      </c>
      <c r="AT252" s="1112">
        <v>0</v>
      </c>
      <c r="AU252" s="1112">
        <v>0</v>
      </c>
      <c r="AV252" s="270">
        <v>154952</v>
      </c>
      <c r="AW252" s="1112">
        <v>2948943</v>
      </c>
      <c r="AX252" s="1112">
        <v>323146</v>
      </c>
      <c r="AY252" s="1112">
        <v>19680438</v>
      </c>
      <c r="AZ252" s="1112">
        <v>4317</v>
      </c>
      <c r="BA252" s="270">
        <v>3394545</v>
      </c>
      <c r="BB252" s="270">
        <v>0</v>
      </c>
      <c r="BC252" s="1112">
        <v>955203</v>
      </c>
      <c r="BD252" s="270">
        <v>412813</v>
      </c>
      <c r="BE252" s="1112">
        <v>438855</v>
      </c>
      <c r="BF252" s="1112">
        <v>2082795</v>
      </c>
      <c r="BG252" s="1112">
        <v>1606407</v>
      </c>
      <c r="BH252" s="1112">
        <v>38768464</v>
      </c>
      <c r="BI252" s="1112">
        <v>0</v>
      </c>
      <c r="BJ252" s="1112">
        <v>0</v>
      </c>
      <c r="BK252" s="1112">
        <v>0</v>
      </c>
      <c r="BL252" s="1112">
        <v>13494870</v>
      </c>
      <c r="BM252" s="1112">
        <v>8214265</v>
      </c>
      <c r="BN252" s="1112">
        <v>0</v>
      </c>
      <c r="BO252" s="1112">
        <v>0</v>
      </c>
      <c r="BP252" s="1112">
        <v>1856963</v>
      </c>
      <c r="BQ252" s="1112">
        <v>51923</v>
      </c>
      <c r="BR252" s="1112">
        <v>0</v>
      </c>
      <c r="BS252" s="1112">
        <v>0</v>
      </c>
      <c r="BT252" s="298">
        <v>1079126</v>
      </c>
      <c r="BU252" s="298">
        <v>0</v>
      </c>
      <c r="BV252" s="298">
        <v>569174</v>
      </c>
      <c r="BW252" s="298">
        <v>1210234</v>
      </c>
      <c r="BX252" s="298">
        <v>3940631</v>
      </c>
      <c r="BY252" s="298">
        <v>32814</v>
      </c>
      <c r="BZ252" s="298">
        <v>0</v>
      </c>
      <c r="CA252" s="298">
        <v>4164097</v>
      </c>
      <c r="CB252" s="298">
        <v>21459164</v>
      </c>
      <c r="CC252" s="298">
        <v>175971998</v>
      </c>
      <c r="CD252" s="298">
        <v>43933</v>
      </c>
      <c r="CE252" s="298">
        <v>5542064</v>
      </c>
      <c r="CF252" s="298">
        <v>323165</v>
      </c>
      <c r="CG252" s="298">
        <v>2153685</v>
      </c>
      <c r="CH252" s="298">
        <v>147614981</v>
      </c>
      <c r="CI252" s="298">
        <v>9818984</v>
      </c>
      <c r="CJ252" s="298">
        <v>624236</v>
      </c>
      <c r="CK252" s="298">
        <v>0</v>
      </c>
      <c r="CL252" s="298">
        <v>263224</v>
      </c>
      <c r="CM252" s="298">
        <v>2681821</v>
      </c>
      <c r="CN252" s="298">
        <v>2549997</v>
      </c>
      <c r="CO252" s="298">
        <v>1687884</v>
      </c>
      <c r="CP252" s="298">
        <v>0</v>
      </c>
      <c r="CQ252" s="298">
        <v>0</v>
      </c>
    </row>
    <row r="253" spans="1:95" x14ac:dyDescent="0.3">
      <c r="A253" s="270"/>
      <c r="B253" s="270"/>
      <c r="C253" s="270" t="s">
        <v>610</v>
      </c>
      <c r="D253" s="270"/>
      <c r="E253" s="1112">
        <v>0</v>
      </c>
      <c r="F253" s="1112">
        <v>414028</v>
      </c>
      <c r="G253" s="1112">
        <v>-26206</v>
      </c>
      <c r="H253" s="1112">
        <v>-427388</v>
      </c>
      <c r="I253" s="270">
        <v>804500</v>
      </c>
      <c r="J253" s="1112">
        <v>-37972</v>
      </c>
      <c r="K253" s="1112">
        <v>15251600</v>
      </c>
      <c r="L253" s="1112">
        <v>-109127</v>
      </c>
      <c r="M253" s="1112">
        <v>0</v>
      </c>
      <c r="N253" s="270">
        <v>-59616</v>
      </c>
      <c r="O253" s="1112">
        <v>-23876</v>
      </c>
      <c r="P253" s="270">
        <v>0</v>
      </c>
      <c r="Q253" s="1112">
        <v>-82359</v>
      </c>
      <c r="R253" s="1112">
        <v>-26235</v>
      </c>
      <c r="S253" s="270">
        <v>0</v>
      </c>
      <c r="T253" s="1112">
        <v>0</v>
      </c>
      <c r="U253" s="1112">
        <v>2740500</v>
      </c>
      <c r="V253" s="1112">
        <v>70931</v>
      </c>
      <c r="W253" s="1112">
        <v>20018</v>
      </c>
      <c r="X253" s="1112">
        <v>0</v>
      </c>
      <c r="Y253" s="1112">
        <v>1744622</v>
      </c>
      <c r="Z253" s="270">
        <v>0</v>
      </c>
      <c r="AA253" s="1112">
        <v>-1686477</v>
      </c>
      <c r="AB253" s="1112">
        <v>241385</v>
      </c>
      <c r="AC253" s="1112">
        <v>-187438</v>
      </c>
      <c r="AD253" s="1112">
        <v>-55321</v>
      </c>
      <c r="AE253" s="1112">
        <v>1096585</v>
      </c>
      <c r="AF253" s="270">
        <v>0</v>
      </c>
      <c r="AG253" s="270">
        <v>173519</v>
      </c>
      <c r="AH253" s="1112">
        <v>0</v>
      </c>
      <c r="AI253" s="1112">
        <v>3190001</v>
      </c>
      <c r="AJ253" s="1112">
        <v>-512271</v>
      </c>
      <c r="AK253" s="1112">
        <v>7243</v>
      </c>
      <c r="AL253" s="270">
        <v>940813</v>
      </c>
      <c r="AM253" s="270">
        <v>0</v>
      </c>
      <c r="AN253" s="1112">
        <v>8567</v>
      </c>
      <c r="AO253" s="1112">
        <v>0</v>
      </c>
      <c r="AP253" s="1112">
        <v>673185</v>
      </c>
      <c r="AQ253" s="270">
        <v>-180155</v>
      </c>
      <c r="AR253" s="1112">
        <v>0</v>
      </c>
      <c r="AS253" s="1112">
        <v>0</v>
      </c>
      <c r="AT253" s="1112">
        <v>0</v>
      </c>
      <c r="AU253" s="1112">
        <v>0</v>
      </c>
      <c r="AV253" s="270">
        <v>-43120</v>
      </c>
      <c r="AW253" s="1112">
        <v>-104027</v>
      </c>
      <c r="AX253" s="1112">
        <v>-104141</v>
      </c>
      <c r="AY253" s="1112">
        <v>1471846</v>
      </c>
      <c r="AZ253" s="1112">
        <v>2159</v>
      </c>
      <c r="BA253" s="270">
        <v>-184998</v>
      </c>
      <c r="BB253" s="270">
        <v>0</v>
      </c>
      <c r="BC253" s="1112">
        <v>-15901</v>
      </c>
      <c r="BD253" s="270">
        <v>49790</v>
      </c>
      <c r="BE253" s="1112">
        <v>5952</v>
      </c>
      <c r="BF253" s="1112">
        <v>1701749</v>
      </c>
      <c r="BG253" s="1112">
        <v>783561</v>
      </c>
      <c r="BH253" s="1112">
        <v>4802146</v>
      </c>
      <c r="BI253" s="1112">
        <v>0</v>
      </c>
      <c r="BJ253" s="1112">
        <v>0</v>
      </c>
      <c r="BK253" s="1112">
        <v>0</v>
      </c>
      <c r="BL253" s="270">
        <v>879336</v>
      </c>
      <c r="BM253" s="1112">
        <v>498615</v>
      </c>
      <c r="BN253" s="1112">
        <v>0</v>
      </c>
      <c r="BO253" s="1112">
        <v>0</v>
      </c>
      <c r="BP253" s="1112">
        <v>-14921</v>
      </c>
      <c r="BQ253" s="1112">
        <v>0</v>
      </c>
      <c r="BR253" s="1112">
        <v>0</v>
      </c>
      <c r="BS253" s="1112">
        <v>0</v>
      </c>
      <c r="BT253" s="298">
        <v>199812</v>
      </c>
      <c r="BU253" s="298">
        <v>0</v>
      </c>
      <c r="BV253" s="298">
        <v>-117021</v>
      </c>
      <c r="BW253" s="298">
        <v>298845</v>
      </c>
      <c r="BX253" s="298">
        <v>580679</v>
      </c>
      <c r="BY253" s="298">
        <v>-10508</v>
      </c>
      <c r="BZ253" s="298">
        <v>0</v>
      </c>
      <c r="CA253" s="298">
        <v>1256936</v>
      </c>
      <c r="CB253" s="298">
        <v>7191307</v>
      </c>
      <c r="CC253" s="298">
        <v>17398923</v>
      </c>
      <c r="CD253" s="298">
        <v>911923</v>
      </c>
      <c r="CE253" s="298">
        <v>581813</v>
      </c>
      <c r="CF253" s="298">
        <v>-106744</v>
      </c>
      <c r="CG253" s="298">
        <v>331316</v>
      </c>
      <c r="CH253" s="298">
        <v>44508656</v>
      </c>
      <c r="CI253" s="298">
        <v>1778264</v>
      </c>
      <c r="CJ253" s="298">
        <v>-90852</v>
      </c>
      <c r="CK253" s="298">
        <v>0</v>
      </c>
      <c r="CL253" s="298">
        <v>140013</v>
      </c>
      <c r="CM253" s="298">
        <v>709068</v>
      </c>
      <c r="CN253" s="298">
        <v>57889</v>
      </c>
      <c r="CO253" s="298">
        <v>336560</v>
      </c>
      <c r="CP253" s="298">
        <v>0</v>
      </c>
      <c r="CQ253" s="298">
        <v>26167</v>
      </c>
    </row>
    <row r="254" spans="1:95" x14ac:dyDescent="0.3">
      <c r="A254" s="270"/>
      <c r="B254" s="270"/>
      <c r="C254" s="270" t="s">
        <v>682</v>
      </c>
      <c r="D254" s="270"/>
      <c r="E254" s="270"/>
      <c r="F254" s="270"/>
      <c r="G254" s="270"/>
      <c r="H254" s="270"/>
      <c r="I254" s="270"/>
      <c r="J254" s="270"/>
      <c r="K254" s="270"/>
      <c r="L254" s="270"/>
      <c r="M254" s="270"/>
      <c r="N254" s="270"/>
      <c r="O254" s="270"/>
      <c r="P254" s="270"/>
      <c r="Q254" s="270"/>
      <c r="R254" s="270"/>
      <c r="S254" s="270"/>
      <c r="T254" s="270"/>
      <c r="U254" s="270"/>
      <c r="V254" s="270"/>
      <c r="W254" s="270"/>
      <c r="X254" s="270"/>
      <c r="Y254" s="270"/>
      <c r="Z254" s="270"/>
      <c r="AA254" s="270"/>
      <c r="AB254" s="270"/>
      <c r="AC254" s="270"/>
      <c r="AD254" s="270"/>
      <c r="AE254" s="270"/>
      <c r="AF254" s="270"/>
      <c r="AG254" s="270"/>
      <c r="AH254" s="270"/>
      <c r="AI254" s="270"/>
      <c r="AJ254" s="270"/>
      <c r="AK254" s="270"/>
      <c r="AL254" s="270"/>
      <c r="AM254" s="270"/>
      <c r="AN254" s="270"/>
      <c r="AO254" s="270"/>
      <c r="AP254" s="270"/>
      <c r="AQ254" s="270"/>
      <c r="AR254" s="270"/>
      <c r="AS254" s="270"/>
      <c r="AT254" s="270"/>
      <c r="AU254" s="270"/>
      <c r="AV254" s="270"/>
      <c r="AW254" s="270"/>
      <c r="AX254" s="270"/>
      <c r="AY254" s="270"/>
      <c r="AZ254" s="270"/>
      <c r="BA254" s="270"/>
      <c r="BB254" s="270"/>
      <c r="BC254" s="270"/>
      <c r="BD254" s="270"/>
      <c r="BE254" s="270"/>
      <c r="BF254" s="270"/>
      <c r="BG254" s="270"/>
      <c r="BH254" s="270"/>
      <c r="BI254" s="270"/>
      <c r="BJ254" s="270"/>
      <c r="BK254" s="270"/>
      <c r="BL254" s="270"/>
      <c r="BM254" s="270"/>
      <c r="BN254" s="270"/>
      <c r="BO254" s="270"/>
      <c r="BP254" s="270"/>
      <c r="BQ254" s="270"/>
      <c r="BR254" s="270"/>
      <c r="BS254" s="270"/>
    </row>
    <row r="255" spans="1:95" x14ac:dyDescent="0.3">
      <c r="A255" s="270"/>
      <c r="B255" s="270"/>
      <c r="C255" s="270" t="s">
        <v>616</v>
      </c>
      <c r="D255" s="270"/>
      <c r="E255" s="270">
        <v>0</v>
      </c>
      <c r="F255" s="270">
        <v>52</v>
      </c>
      <c r="G255" s="270">
        <v>52</v>
      </c>
      <c r="H255" s="270">
        <v>52</v>
      </c>
      <c r="I255" s="270">
        <v>52</v>
      </c>
      <c r="J255" s="270">
        <v>52</v>
      </c>
      <c r="K255" s="270">
        <v>52</v>
      </c>
      <c r="L255" s="270">
        <v>52</v>
      </c>
      <c r="M255" s="270">
        <v>52</v>
      </c>
      <c r="N255" s="270">
        <v>52</v>
      </c>
      <c r="O255" s="270">
        <v>52</v>
      </c>
      <c r="P255" s="270">
        <v>52</v>
      </c>
      <c r="Q255" s="270">
        <v>52</v>
      </c>
      <c r="R255" s="270">
        <v>0</v>
      </c>
      <c r="S255" s="270">
        <v>52</v>
      </c>
      <c r="T255" s="270">
        <v>52</v>
      </c>
      <c r="U255" s="270">
        <v>52</v>
      </c>
      <c r="V255" s="270">
        <v>52</v>
      </c>
      <c r="W255" s="270">
        <v>52</v>
      </c>
      <c r="X255" s="270">
        <v>52</v>
      </c>
      <c r="Y255" s="270">
        <v>52</v>
      </c>
      <c r="Z255" s="270">
        <v>52</v>
      </c>
      <c r="AA255" s="270">
        <v>52</v>
      </c>
      <c r="AB255" s="270">
        <v>52</v>
      </c>
      <c r="AC255" s="270">
        <v>52</v>
      </c>
      <c r="AD255" s="270">
        <v>52</v>
      </c>
      <c r="AE255" s="270">
        <v>52</v>
      </c>
      <c r="AF255" s="270">
        <v>52</v>
      </c>
      <c r="AG255" s="270">
        <v>52</v>
      </c>
      <c r="AH255" s="270">
        <v>52</v>
      </c>
      <c r="AI255" s="270">
        <v>52</v>
      </c>
      <c r="AJ255" s="270">
        <v>52</v>
      </c>
      <c r="AK255" s="270">
        <v>52</v>
      </c>
      <c r="AL255" s="270">
        <v>52</v>
      </c>
      <c r="AM255" s="270">
        <v>0</v>
      </c>
      <c r="AN255" s="270">
        <v>52</v>
      </c>
      <c r="AO255" s="270">
        <v>52</v>
      </c>
      <c r="AP255" s="270">
        <v>52</v>
      </c>
      <c r="AQ255" s="270">
        <v>52</v>
      </c>
      <c r="AR255" s="270">
        <v>52</v>
      </c>
      <c r="AS255" s="270">
        <v>52</v>
      </c>
      <c r="AT255" s="270">
        <v>52</v>
      </c>
      <c r="AU255" s="270">
        <v>0</v>
      </c>
      <c r="AV255" s="270">
        <v>52</v>
      </c>
      <c r="AW255" s="270">
        <v>52</v>
      </c>
      <c r="AX255" s="270">
        <v>52</v>
      </c>
      <c r="AY255" s="270">
        <v>52</v>
      </c>
      <c r="AZ255" s="270">
        <v>51</v>
      </c>
      <c r="BA255" s="270">
        <v>52</v>
      </c>
      <c r="BB255" s="270">
        <v>0</v>
      </c>
      <c r="BC255" s="270">
        <v>52</v>
      </c>
      <c r="BD255" s="270">
        <v>52</v>
      </c>
      <c r="BE255" s="270">
        <v>52</v>
      </c>
      <c r="BF255" s="270">
        <v>52</v>
      </c>
      <c r="BG255" s="270">
        <v>52</v>
      </c>
      <c r="BH255" s="270">
        <v>52</v>
      </c>
      <c r="BI255" s="270">
        <v>0</v>
      </c>
      <c r="BJ255" s="270">
        <v>52</v>
      </c>
      <c r="BK255" s="270">
        <v>52</v>
      </c>
      <c r="BL255" s="270">
        <v>52</v>
      </c>
      <c r="BM255" s="270">
        <v>52</v>
      </c>
      <c r="BN255" s="270">
        <v>52</v>
      </c>
      <c r="BO255" s="270">
        <v>52</v>
      </c>
      <c r="BP255" s="270">
        <v>52</v>
      </c>
      <c r="BQ255" s="270">
        <v>52</v>
      </c>
      <c r="BR255" s="270">
        <v>52</v>
      </c>
      <c r="BS255" s="270">
        <v>0</v>
      </c>
      <c r="BT255" s="298">
        <v>52</v>
      </c>
      <c r="BU255" s="298">
        <v>52</v>
      </c>
      <c r="BV255" s="298">
        <v>52</v>
      </c>
      <c r="BW255" s="298">
        <v>52</v>
      </c>
      <c r="BX255" s="298">
        <v>52</v>
      </c>
      <c r="BY255" s="298">
        <v>52</v>
      </c>
      <c r="BZ255" s="298">
        <v>0</v>
      </c>
      <c r="CA255" s="298">
        <v>52</v>
      </c>
      <c r="CB255" s="298">
        <v>0</v>
      </c>
      <c r="CC255" s="298">
        <v>52</v>
      </c>
      <c r="CD255" s="298">
        <v>52</v>
      </c>
      <c r="CE255" s="298">
        <v>52</v>
      </c>
      <c r="CF255" s="298">
        <v>52</v>
      </c>
      <c r="CG255" s="298">
        <v>52</v>
      </c>
      <c r="CH255" s="298">
        <v>52</v>
      </c>
      <c r="CI255" s="298">
        <v>52</v>
      </c>
      <c r="CJ255" s="298">
        <v>52</v>
      </c>
      <c r="CK255" s="298">
        <v>0</v>
      </c>
      <c r="CL255" s="298">
        <v>52</v>
      </c>
      <c r="CM255" s="298">
        <v>52</v>
      </c>
      <c r="CN255" s="298">
        <v>52</v>
      </c>
      <c r="CO255" s="298">
        <v>52</v>
      </c>
      <c r="CP255" s="298">
        <v>52</v>
      </c>
      <c r="CQ255" s="298">
        <v>52</v>
      </c>
    </row>
    <row r="256" spans="1:95" x14ac:dyDescent="0.3">
      <c r="A256" s="270"/>
      <c r="B256" s="270"/>
      <c r="C256" s="270" t="s">
        <v>683</v>
      </c>
      <c r="D256" s="270"/>
      <c r="E256" s="1112">
        <v>1879</v>
      </c>
      <c r="F256" s="1112">
        <v>160466</v>
      </c>
      <c r="G256" s="1112">
        <v>2019</v>
      </c>
      <c r="H256" s="1112">
        <v>33585</v>
      </c>
      <c r="I256" s="1112">
        <v>96620</v>
      </c>
      <c r="J256" s="270">
        <v>1984</v>
      </c>
      <c r="K256" s="1112">
        <v>1890504</v>
      </c>
      <c r="L256" s="1112">
        <v>17705</v>
      </c>
      <c r="M256" s="1112">
        <v>465</v>
      </c>
      <c r="N256" s="270">
        <v>51971</v>
      </c>
      <c r="O256" s="1112">
        <v>1460</v>
      </c>
      <c r="P256" s="1112">
        <v>105</v>
      </c>
      <c r="Q256" s="1112">
        <v>1791</v>
      </c>
      <c r="R256" s="1112">
        <v>24367</v>
      </c>
      <c r="S256" s="270">
        <v>131999</v>
      </c>
      <c r="T256" s="1112">
        <v>172556</v>
      </c>
      <c r="U256" s="1112">
        <v>315096</v>
      </c>
      <c r="V256" s="1112">
        <v>42378</v>
      </c>
      <c r="W256" s="270">
        <v>71037</v>
      </c>
      <c r="X256" s="270">
        <v>161439</v>
      </c>
      <c r="Y256" s="1112">
        <v>169</v>
      </c>
      <c r="Z256" s="1112">
        <v>646</v>
      </c>
      <c r="AA256" s="1112">
        <v>386432</v>
      </c>
      <c r="AB256" s="1112">
        <v>3244</v>
      </c>
      <c r="AC256" s="1112">
        <v>0</v>
      </c>
      <c r="AD256" s="1112">
        <v>4418</v>
      </c>
      <c r="AE256" s="270">
        <v>515586</v>
      </c>
      <c r="AF256" s="1112">
        <v>36248</v>
      </c>
      <c r="AG256" s="1112">
        <v>133691</v>
      </c>
      <c r="AH256" s="1112">
        <v>25592</v>
      </c>
      <c r="AI256" s="1112">
        <v>857</v>
      </c>
      <c r="AJ256" s="1112">
        <v>38128</v>
      </c>
      <c r="AK256" s="1112">
        <v>22720</v>
      </c>
      <c r="AL256" s="270">
        <v>2867</v>
      </c>
      <c r="AM256" s="270">
        <v>0</v>
      </c>
      <c r="AN256" s="1112">
        <v>128</v>
      </c>
      <c r="AO256" s="1112">
        <v>52029</v>
      </c>
      <c r="AP256" s="1112">
        <v>94282</v>
      </c>
      <c r="AQ256" s="1112">
        <v>8772</v>
      </c>
      <c r="AR256" s="1112">
        <v>100</v>
      </c>
      <c r="AS256" s="1112">
        <v>15430</v>
      </c>
      <c r="AT256" s="1112">
        <v>884</v>
      </c>
      <c r="AU256" s="1112">
        <v>2933</v>
      </c>
      <c r="AV256" s="270">
        <v>5791</v>
      </c>
      <c r="AW256" s="1112">
        <v>77321</v>
      </c>
      <c r="AX256" s="1112">
        <v>3086</v>
      </c>
      <c r="AY256" s="1112">
        <v>837216</v>
      </c>
      <c r="AZ256" s="270">
        <v>0</v>
      </c>
      <c r="BA256" s="270">
        <v>41516</v>
      </c>
      <c r="BB256" s="1112">
        <v>4912</v>
      </c>
      <c r="BC256" s="1112">
        <v>2225</v>
      </c>
      <c r="BD256" s="1112">
        <v>16336</v>
      </c>
      <c r="BE256" s="1112">
        <v>4345</v>
      </c>
      <c r="BF256" s="1112">
        <v>12946</v>
      </c>
      <c r="BG256" s="270">
        <v>123144</v>
      </c>
      <c r="BH256" s="1112">
        <v>880279</v>
      </c>
      <c r="BI256" s="1112">
        <v>128</v>
      </c>
      <c r="BJ256" s="270">
        <v>0</v>
      </c>
      <c r="BK256" s="1112">
        <v>274437</v>
      </c>
      <c r="BL256" s="1112">
        <v>171418</v>
      </c>
      <c r="BM256" s="270">
        <v>212195</v>
      </c>
      <c r="BN256" s="1112">
        <v>794</v>
      </c>
      <c r="BO256" s="1112">
        <v>28787</v>
      </c>
      <c r="BP256" s="1112">
        <v>0</v>
      </c>
      <c r="BQ256" s="1112">
        <v>168226</v>
      </c>
      <c r="BR256" s="1112">
        <v>27095</v>
      </c>
      <c r="BS256" s="1112">
        <v>7903</v>
      </c>
      <c r="BT256" s="298">
        <v>41323</v>
      </c>
      <c r="BU256" s="298">
        <v>12820</v>
      </c>
      <c r="BV256" s="298">
        <v>512</v>
      </c>
      <c r="BW256" s="298">
        <v>49136</v>
      </c>
      <c r="BX256" s="298">
        <v>17944</v>
      </c>
      <c r="BY256" s="298">
        <v>7619</v>
      </c>
      <c r="BZ256" s="298">
        <v>0</v>
      </c>
      <c r="CA256" s="298">
        <v>227470</v>
      </c>
      <c r="CB256" s="298">
        <v>3809658</v>
      </c>
      <c r="CC256" s="298">
        <v>1978996</v>
      </c>
      <c r="CD256" s="298">
        <v>2715</v>
      </c>
      <c r="CE256" s="298">
        <v>134676</v>
      </c>
      <c r="CF256" s="298">
        <v>0</v>
      </c>
      <c r="CG256" s="298">
        <v>22430</v>
      </c>
      <c r="CH256" s="298">
        <v>15781106</v>
      </c>
      <c r="CI256" s="298">
        <v>333969</v>
      </c>
      <c r="CJ256" s="298">
        <v>2363</v>
      </c>
      <c r="CK256" s="298">
        <v>32240</v>
      </c>
      <c r="CL256" s="298">
        <v>2370</v>
      </c>
      <c r="CM256" s="298">
        <v>255219</v>
      </c>
      <c r="CN256" s="298">
        <v>20105</v>
      </c>
      <c r="CO256" s="298">
        <v>16890</v>
      </c>
      <c r="CP256" s="298">
        <v>13364</v>
      </c>
      <c r="CQ256" s="298">
        <v>219783</v>
      </c>
    </row>
    <row r="257" spans="1:95" x14ac:dyDescent="0.3">
      <c r="A257" s="270"/>
      <c r="B257" s="270"/>
      <c r="C257" s="270"/>
      <c r="D257" s="270" t="s">
        <v>1782</v>
      </c>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c r="AA257" s="270"/>
      <c r="AB257" s="270"/>
      <c r="AC257" s="270"/>
      <c r="AD257" s="270"/>
      <c r="AE257" s="270"/>
      <c r="AF257" s="270"/>
      <c r="AG257" s="270"/>
      <c r="AH257" s="270"/>
      <c r="AI257" s="270"/>
      <c r="AJ257" s="270"/>
      <c r="AK257" s="270"/>
      <c r="AL257" s="270"/>
      <c r="AM257" s="270"/>
      <c r="AN257" s="270"/>
      <c r="AO257" s="270"/>
      <c r="AP257" s="270"/>
      <c r="AQ257" s="270"/>
      <c r="AR257" s="270"/>
      <c r="AS257" s="270"/>
      <c r="AT257" s="270"/>
      <c r="AU257" s="270"/>
      <c r="AV257" s="270"/>
      <c r="AW257" s="270"/>
      <c r="AX257" s="270"/>
      <c r="AY257" s="270"/>
      <c r="AZ257" s="270"/>
      <c r="BA257" s="270"/>
      <c r="BB257" s="270"/>
      <c r="BC257" s="270"/>
      <c r="BD257" s="270"/>
      <c r="BE257" s="270"/>
      <c r="BF257" s="270"/>
      <c r="BG257" s="270"/>
      <c r="BH257" s="270"/>
      <c r="BI257" s="270"/>
      <c r="BJ257" s="270"/>
      <c r="BK257" s="270"/>
      <c r="BL257" s="270"/>
      <c r="BM257" s="270"/>
      <c r="BN257" s="270"/>
      <c r="BO257" s="270"/>
      <c r="BP257" s="270"/>
      <c r="BQ257" s="270"/>
      <c r="BR257" s="270"/>
      <c r="BS257" s="270"/>
    </row>
    <row r="258" spans="1:95" x14ac:dyDescent="0.3">
      <c r="A258" s="270">
        <v>598</v>
      </c>
      <c r="B258" s="270">
        <v>598</v>
      </c>
      <c r="C258" s="270" t="s">
        <v>677</v>
      </c>
      <c r="D258" s="270"/>
      <c r="E258" s="1112">
        <v>0</v>
      </c>
      <c r="F258" s="270">
        <v>19866</v>
      </c>
      <c r="G258" s="270">
        <v>0</v>
      </c>
      <c r="H258" s="1112">
        <v>0</v>
      </c>
      <c r="I258" s="270">
        <v>0</v>
      </c>
      <c r="J258" s="270">
        <v>0</v>
      </c>
      <c r="K258" s="270">
        <v>124758</v>
      </c>
      <c r="L258" s="270">
        <v>16446</v>
      </c>
      <c r="M258" s="1112">
        <v>0</v>
      </c>
      <c r="N258" s="270">
        <v>0</v>
      </c>
      <c r="O258" s="1112">
        <v>0</v>
      </c>
      <c r="P258" s="270">
        <v>0</v>
      </c>
      <c r="Q258" s="1112">
        <v>0</v>
      </c>
      <c r="R258" s="1112">
        <v>4052</v>
      </c>
      <c r="S258" s="270">
        <v>0</v>
      </c>
      <c r="T258" s="270">
        <v>37453</v>
      </c>
      <c r="U258" s="1112">
        <v>20502</v>
      </c>
      <c r="V258" s="270">
        <v>11956</v>
      </c>
      <c r="W258" s="270">
        <v>0</v>
      </c>
      <c r="X258" s="270">
        <v>18713</v>
      </c>
      <c r="Y258" s="1112">
        <v>0</v>
      </c>
      <c r="Z258" s="270">
        <v>0</v>
      </c>
      <c r="AA258" s="270">
        <v>89357</v>
      </c>
      <c r="AB258" s="270">
        <v>0</v>
      </c>
      <c r="AC258" s="1112">
        <v>0</v>
      </c>
      <c r="AD258" s="1112">
        <v>0</v>
      </c>
      <c r="AE258" s="270">
        <v>118510</v>
      </c>
      <c r="AF258" s="270">
        <v>0</v>
      </c>
      <c r="AG258" s="270">
        <v>0</v>
      </c>
      <c r="AH258" s="1112">
        <v>18039</v>
      </c>
      <c r="AI258" s="1112">
        <v>0</v>
      </c>
      <c r="AJ258" s="270">
        <v>0</v>
      </c>
      <c r="AK258" s="1112">
        <v>0</v>
      </c>
      <c r="AL258" s="270">
        <v>0</v>
      </c>
      <c r="AM258" s="270">
        <v>0</v>
      </c>
      <c r="AN258" s="270">
        <v>0</v>
      </c>
      <c r="AO258" s="270">
        <v>0</v>
      </c>
      <c r="AP258" s="270">
        <v>0</v>
      </c>
      <c r="AQ258" s="270">
        <v>0</v>
      </c>
      <c r="AR258" s="270">
        <v>0</v>
      </c>
      <c r="AS258" s="1112">
        <v>0</v>
      </c>
      <c r="AT258" s="1112">
        <v>0</v>
      </c>
      <c r="AU258" s="1112">
        <v>0</v>
      </c>
      <c r="AV258" s="270">
        <v>0</v>
      </c>
      <c r="AW258" s="1112">
        <v>18696</v>
      </c>
      <c r="AX258" s="1112">
        <v>0</v>
      </c>
      <c r="AY258" s="1112">
        <v>4590</v>
      </c>
      <c r="AZ258" s="270">
        <v>0</v>
      </c>
      <c r="BA258" s="270">
        <v>17169</v>
      </c>
      <c r="BB258" s="270">
        <v>0</v>
      </c>
      <c r="BC258" s="1112">
        <v>0</v>
      </c>
      <c r="BD258" s="270">
        <v>8545</v>
      </c>
      <c r="BE258" s="270">
        <v>0</v>
      </c>
      <c r="BF258" s="1112">
        <v>0</v>
      </c>
      <c r="BG258" s="1112">
        <v>0</v>
      </c>
      <c r="BH258" s="270">
        <v>77051</v>
      </c>
      <c r="BI258" s="1112">
        <v>0</v>
      </c>
      <c r="BJ258" s="270">
        <v>0</v>
      </c>
      <c r="BK258" s="270">
        <v>8723</v>
      </c>
      <c r="BL258" s="1112">
        <v>79636</v>
      </c>
      <c r="BM258" s="270">
        <v>44446</v>
      </c>
      <c r="BN258" s="270">
        <v>0</v>
      </c>
      <c r="BO258" s="270">
        <v>0</v>
      </c>
      <c r="BP258" s="1112">
        <v>0</v>
      </c>
      <c r="BQ258" s="1112">
        <v>30449</v>
      </c>
      <c r="BR258" s="270">
        <v>0</v>
      </c>
      <c r="BS258" s="1112">
        <v>0</v>
      </c>
      <c r="BT258" s="298">
        <v>0</v>
      </c>
      <c r="BU258" s="298">
        <v>4012</v>
      </c>
      <c r="BV258" s="298">
        <v>0</v>
      </c>
      <c r="BW258" s="298">
        <v>0</v>
      </c>
      <c r="BX258" s="298">
        <v>16278</v>
      </c>
      <c r="BY258" s="298">
        <v>0</v>
      </c>
      <c r="BZ258" s="298">
        <v>0</v>
      </c>
      <c r="CA258" s="298">
        <v>0</v>
      </c>
      <c r="CB258" s="298">
        <v>620058</v>
      </c>
      <c r="CC258" s="298">
        <v>211137</v>
      </c>
      <c r="CD258" s="298">
        <v>2663</v>
      </c>
      <c r="CE258" s="298">
        <v>0</v>
      </c>
      <c r="CF258" s="298">
        <v>0</v>
      </c>
      <c r="CG258" s="298">
        <v>0</v>
      </c>
      <c r="CH258" s="298">
        <v>2103520</v>
      </c>
      <c r="CI258" s="298">
        <v>16972</v>
      </c>
      <c r="CJ258" s="298">
        <v>0</v>
      </c>
      <c r="CK258" s="298">
        <v>0</v>
      </c>
      <c r="CL258" s="298">
        <v>0</v>
      </c>
      <c r="CM258" s="298">
        <v>51139</v>
      </c>
      <c r="CN258" s="298">
        <v>8409</v>
      </c>
      <c r="CO258" s="298">
        <v>0</v>
      </c>
      <c r="CP258" s="298">
        <v>0</v>
      </c>
      <c r="CQ258" s="298">
        <v>0</v>
      </c>
    </row>
    <row r="259" spans="1:95" x14ac:dyDescent="0.3">
      <c r="A259" s="270">
        <v>599</v>
      </c>
      <c r="B259" s="270">
        <v>599</v>
      </c>
      <c r="C259" s="270" t="s">
        <v>678</v>
      </c>
      <c r="D259" s="270"/>
      <c r="E259" s="1112">
        <v>0</v>
      </c>
      <c r="F259" s="1112">
        <v>503015</v>
      </c>
      <c r="G259" s="270">
        <v>100928</v>
      </c>
      <c r="H259" s="1112">
        <v>474944</v>
      </c>
      <c r="I259" s="270">
        <v>22191</v>
      </c>
      <c r="J259" s="1112">
        <v>24147</v>
      </c>
      <c r="K259" s="1112">
        <v>2306764</v>
      </c>
      <c r="L259" s="270">
        <v>49333</v>
      </c>
      <c r="M259" s="1112">
        <v>0</v>
      </c>
      <c r="N259" s="270">
        <v>0</v>
      </c>
      <c r="O259" s="1112">
        <v>137349</v>
      </c>
      <c r="P259" s="270">
        <v>0</v>
      </c>
      <c r="Q259" s="1112">
        <v>0</v>
      </c>
      <c r="R259" s="1112">
        <v>164834</v>
      </c>
      <c r="S259" s="270">
        <v>0</v>
      </c>
      <c r="T259" s="270">
        <v>428458</v>
      </c>
      <c r="U259" s="1112">
        <v>301592</v>
      </c>
      <c r="V259" s="270">
        <v>63708</v>
      </c>
      <c r="W259" s="270">
        <v>0</v>
      </c>
      <c r="X259" s="270">
        <v>442710</v>
      </c>
      <c r="Y259" s="1112">
        <v>69604</v>
      </c>
      <c r="Z259" s="1112">
        <v>0</v>
      </c>
      <c r="AA259" s="1112">
        <v>1397824</v>
      </c>
      <c r="AB259" s="1112">
        <v>255094</v>
      </c>
      <c r="AC259" s="1112">
        <v>31044</v>
      </c>
      <c r="AD259" s="1112">
        <v>0</v>
      </c>
      <c r="AE259" s="270">
        <v>2282150</v>
      </c>
      <c r="AF259" s="270">
        <v>0</v>
      </c>
      <c r="AG259" s="270">
        <v>86340</v>
      </c>
      <c r="AH259" s="1112">
        <v>240317</v>
      </c>
      <c r="AI259" s="1112">
        <v>0</v>
      </c>
      <c r="AJ259" s="1112">
        <v>0</v>
      </c>
      <c r="AK259" s="1112">
        <v>426673</v>
      </c>
      <c r="AL259" s="270">
        <v>262826</v>
      </c>
      <c r="AM259" s="270">
        <v>0</v>
      </c>
      <c r="AN259" s="1112">
        <v>0</v>
      </c>
      <c r="AO259" s="270">
        <v>0</v>
      </c>
      <c r="AP259" s="1112">
        <v>188730</v>
      </c>
      <c r="AQ259" s="270">
        <v>11526</v>
      </c>
      <c r="AR259" s="1112">
        <v>0</v>
      </c>
      <c r="AS259" s="1112">
        <v>0</v>
      </c>
      <c r="AT259" s="1112">
        <v>9247</v>
      </c>
      <c r="AU259" s="1112">
        <v>0</v>
      </c>
      <c r="AV259" s="270">
        <v>0</v>
      </c>
      <c r="AW259" s="1112">
        <v>403923</v>
      </c>
      <c r="AX259" s="1112">
        <v>39898</v>
      </c>
      <c r="AY259" s="1112">
        <v>3063359</v>
      </c>
      <c r="AZ259" s="270">
        <v>0</v>
      </c>
      <c r="BA259" s="270">
        <v>125386</v>
      </c>
      <c r="BB259" s="1112">
        <v>0</v>
      </c>
      <c r="BC259" s="1112">
        <v>0</v>
      </c>
      <c r="BD259" s="270">
        <v>66376</v>
      </c>
      <c r="BE259" s="270">
        <v>0</v>
      </c>
      <c r="BF259" s="1112">
        <v>25977</v>
      </c>
      <c r="BG259" s="1112">
        <v>256967</v>
      </c>
      <c r="BH259" s="270">
        <v>1477260</v>
      </c>
      <c r="BI259" s="1112">
        <v>0</v>
      </c>
      <c r="BJ259" s="270">
        <v>0</v>
      </c>
      <c r="BK259" s="1112">
        <v>493263</v>
      </c>
      <c r="BL259" s="1112">
        <v>1256230</v>
      </c>
      <c r="BM259" s="270">
        <v>560099</v>
      </c>
      <c r="BN259" s="1112">
        <v>0</v>
      </c>
      <c r="BO259" s="1112">
        <v>0</v>
      </c>
      <c r="BP259" s="1112">
        <v>89262</v>
      </c>
      <c r="BQ259" s="1112">
        <v>639343</v>
      </c>
      <c r="BR259" s="1112">
        <v>0</v>
      </c>
      <c r="BS259" s="1112">
        <v>0</v>
      </c>
      <c r="BT259" s="298">
        <v>58134</v>
      </c>
      <c r="BU259" s="298">
        <v>248060</v>
      </c>
      <c r="BV259" s="298">
        <v>10934</v>
      </c>
      <c r="BW259" s="298">
        <v>133122</v>
      </c>
      <c r="BX259" s="298">
        <v>207783</v>
      </c>
      <c r="BY259" s="298">
        <v>0</v>
      </c>
      <c r="BZ259" s="298">
        <v>0</v>
      </c>
      <c r="CA259" s="298">
        <v>365902</v>
      </c>
      <c r="CB259" s="298">
        <v>12157366</v>
      </c>
      <c r="CC259" s="298">
        <v>5130389</v>
      </c>
      <c r="CD259" s="298">
        <v>113172</v>
      </c>
      <c r="CE259" s="298">
        <v>135124</v>
      </c>
      <c r="CF259" s="298">
        <v>0</v>
      </c>
      <c r="CG259" s="298">
        <v>153977</v>
      </c>
      <c r="CH259" s="298">
        <v>24860854</v>
      </c>
      <c r="CI259" s="298">
        <v>287987</v>
      </c>
      <c r="CJ259" s="298">
        <v>0</v>
      </c>
      <c r="CK259" s="298">
        <v>397987</v>
      </c>
      <c r="CL259" s="298">
        <v>0</v>
      </c>
      <c r="CM259" s="298">
        <v>547166</v>
      </c>
      <c r="CN259" s="298">
        <v>527321</v>
      </c>
      <c r="CO259" s="298">
        <v>0</v>
      </c>
      <c r="CP259" s="298">
        <v>130236</v>
      </c>
      <c r="CQ259" s="298">
        <v>554170</v>
      </c>
    </row>
    <row r="260" spans="1:95" x14ac:dyDescent="0.3">
      <c r="A260" s="270"/>
      <c r="B260" s="270">
        <v>600</v>
      </c>
      <c r="C260" s="270" t="s">
        <v>1783</v>
      </c>
      <c r="D260" s="270"/>
      <c r="E260" s="270"/>
      <c r="F260" s="270"/>
      <c r="G260" s="270"/>
      <c r="H260" s="270"/>
      <c r="I260" s="270"/>
      <c r="J260" s="270"/>
      <c r="K260" s="270"/>
      <c r="L260" s="270"/>
      <c r="M260" s="270"/>
      <c r="N260" s="270"/>
      <c r="O260" s="270"/>
      <c r="P260" s="270"/>
      <c r="Q260" s="270"/>
      <c r="R260" s="270"/>
      <c r="S260" s="270"/>
      <c r="T260" s="270"/>
      <c r="U260" s="270"/>
      <c r="V260" s="270"/>
      <c r="W260" s="270"/>
      <c r="X260" s="270"/>
      <c r="Y260" s="270"/>
      <c r="Z260" s="270"/>
      <c r="AA260" s="270"/>
      <c r="AB260" s="270"/>
      <c r="AC260" s="270"/>
      <c r="AD260" s="270"/>
      <c r="AE260" s="270"/>
      <c r="AF260" s="270"/>
      <c r="AG260" s="270"/>
      <c r="AH260" s="270"/>
      <c r="AI260" s="270"/>
      <c r="AJ260" s="270"/>
      <c r="AK260" s="270"/>
      <c r="AL260" s="270"/>
      <c r="AM260" s="270"/>
      <c r="AN260" s="270"/>
      <c r="AO260" s="270"/>
      <c r="AP260" s="270"/>
      <c r="AQ260" s="270"/>
      <c r="AR260" s="270"/>
      <c r="AS260" s="270"/>
      <c r="AT260" s="270"/>
      <c r="AU260" s="270"/>
      <c r="AV260" s="270"/>
      <c r="AW260" s="270"/>
      <c r="AX260" s="270"/>
      <c r="AY260" s="270"/>
      <c r="AZ260" s="270"/>
      <c r="BA260" s="270"/>
      <c r="BB260" s="270"/>
      <c r="BC260" s="270"/>
      <c r="BD260" s="270"/>
      <c r="BE260" s="270"/>
      <c r="BF260" s="270"/>
      <c r="BG260" s="270"/>
      <c r="BH260" s="270"/>
      <c r="BI260" s="270"/>
      <c r="BJ260" s="270"/>
      <c r="BK260" s="270"/>
      <c r="BL260" s="270"/>
      <c r="BM260" s="270"/>
      <c r="BN260" s="270"/>
      <c r="BO260" s="270"/>
      <c r="BP260" s="270"/>
      <c r="BQ260" s="270"/>
      <c r="BR260" s="270"/>
      <c r="BS260" s="270"/>
    </row>
    <row r="261" spans="1:95" x14ac:dyDescent="0.3">
      <c r="A261" s="270"/>
      <c r="B261" s="270">
        <v>601</v>
      </c>
      <c r="C261" s="270" t="s">
        <v>1784</v>
      </c>
      <c r="D261" s="270"/>
      <c r="E261" s="270"/>
      <c r="F261" s="270"/>
      <c r="G261" s="270"/>
      <c r="H261" s="270"/>
      <c r="I261" s="270"/>
      <c r="J261" s="270"/>
      <c r="K261" s="270"/>
      <c r="L261" s="270"/>
      <c r="M261" s="270"/>
      <c r="N261" s="270"/>
      <c r="O261" s="270"/>
      <c r="P261" s="270"/>
      <c r="Q261" s="270"/>
      <c r="R261" s="270"/>
      <c r="S261" s="270"/>
      <c r="T261" s="270"/>
      <c r="U261" s="270"/>
      <c r="V261" s="270"/>
      <c r="W261" s="270"/>
      <c r="X261" s="270"/>
      <c r="Y261" s="270"/>
      <c r="Z261" s="270"/>
      <c r="AA261" s="270"/>
      <c r="AB261" s="270"/>
      <c r="AC261" s="270"/>
      <c r="AD261" s="270"/>
      <c r="AE261" s="270"/>
      <c r="AF261" s="270"/>
      <c r="AG261" s="270"/>
      <c r="AH261" s="270"/>
      <c r="AI261" s="270"/>
      <c r="AJ261" s="270"/>
      <c r="AK261" s="270"/>
      <c r="AL261" s="270"/>
      <c r="AM261" s="270"/>
      <c r="AN261" s="270"/>
      <c r="AO261" s="270"/>
      <c r="AP261" s="270"/>
      <c r="AQ261" s="270"/>
      <c r="AR261" s="270"/>
      <c r="AS261" s="270"/>
      <c r="AT261" s="270"/>
      <c r="AU261" s="270"/>
      <c r="AV261" s="270"/>
      <c r="AW261" s="270"/>
      <c r="AX261" s="270"/>
      <c r="AY261" s="270"/>
      <c r="AZ261" s="270"/>
      <c r="BA261" s="270"/>
      <c r="BB261" s="270"/>
      <c r="BC261" s="270"/>
      <c r="BD261" s="270"/>
      <c r="BE261" s="270"/>
      <c r="BF261" s="270"/>
      <c r="BG261" s="270"/>
      <c r="BH261" s="270"/>
      <c r="BI261" s="270"/>
      <c r="BJ261" s="270"/>
      <c r="BK261" s="270"/>
      <c r="BL261" s="270"/>
      <c r="BM261" s="270"/>
      <c r="BN261" s="270"/>
      <c r="BO261" s="270"/>
      <c r="BP261" s="270"/>
      <c r="BQ261" s="270"/>
      <c r="BR261" s="270"/>
      <c r="BS261" s="270"/>
    </row>
    <row r="262" spans="1:95" x14ac:dyDescent="0.3">
      <c r="A262" s="270">
        <v>602</v>
      </c>
      <c r="B262" s="270">
        <v>602</v>
      </c>
      <c r="C262" s="270" t="s">
        <v>704</v>
      </c>
      <c r="D262" s="270"/>
      <c r="E262" s="270">
        <v>0</v>
      </c>
      <c r="F262" s="270">
        <v>0</v>
      </c>
      <c r="G262" s="270">
        <v>0</v>
      </c>
      <c r="H262" s="270">
        <v>0</v>
      </c>
      <c r="I262" s="270">
        <v>0</v>
      </c>
      <c r="J262" s="270">
        <v>0</v>
      </c>
      <c r="K262" s="270">
        <v>0</v>
      </c>
      <c r="L262" s="270">
        <v>0</v>
      </c>
      <c r="M262" s="270">
        <v>0</v>
      </c>
      <c r="N262" s="270">
        <v>0</v>
      </c>
      <c r="O262" s="270">
        <v>0</v>
      </c>
      <c r="P262" s="270">
        <v>0</v>
      </c>
      <c r="Q262" s="270">
        <v>0</v>
      </c>
      <c r="R262" s="270">
        <v>0</v>
      </c>
      <c r="S262" s="270">
        <v>0</v>
      </c>
      <c r="T262" s="270">
        <v>0</v>
      </c>
      <c r="U262" s="270">
        <v>0</v>
      </c>
      <c r="V262" s="270">
        <v>0</v>
      </c>
      <c r="W262" s="270">
        <v>0</v>
      </c>
      <c r="X262" s="270">
        <v>0</v>
      </c>
      <c r="Y262" s="270">
        <v>0</v>
      </c>
      <c r="Z262" s="270">
        <v>0</v>
      </c>
      <c r="AA262" s="270">
        <v>0</v>
      </c>
      <c r="AB262" s="270">
        <v>0</v>
      </c>
      <c r="AC262" s="270">
        <v>0</v>
      </c>
      <c r="AD262" s="270">
        <v>0</v>
      </c>
      <c r="AE262" s="270">
        <v>0</v>
      </c>
      <c r="AF262" s="270">
        <v>0</v>
      </c>
      <c r="AG262" s="270">
        <v>0</v>
      </c>
      <c r="AH262" s="270">
        <v>0</v>
      </c>
      <c r="AI262" s="270">
        <v>0</v>
      </c>
      <c r="AJ262" s="270">
        <v>0</v>
      </c>
      <c r="AK262" s="270">
        <v>0</v>
      </c>
      <c r="AL262" s="270">
        <v>0</v>
      </c>
      <c r="AM262" s="270">
        <v>0</v>
      </c>
      <c r="AN262" s="270">
        <v>0</v>
      </c>
      <c r="AO262" s="270">
        <v>0</v>
      </c>
      <c r="AP262" s="270">
        <v>0</v>
      </c>
      <c r="AQ262" s="270">
        <v>0</v>
      </c>
      <c r="AR262" s="270">
        <v>0</v>
      </c>
      <c r="AS262" s="270">
        <v>0</v>
      </c>
      <c r="AT262" s="270">
        <v>0</v>
      </c>
      <c r="AU262" s="270">
        <v>0</v>
      </c>
      <c r="AV262" s="270">
        <v>0</v>
      </c>
      <c r="AW262" s="270">
        <v>0</v>
      </c>
      <c r="AX262" s="270">
        <v>0</v>
      </c>
      <c r="AY262" s="270">
        <v>0</v>
      </c>
      <c r="AZ262" s="270">
        <v>0</v>
      </c>
      <c r="BA262" s="270">
        <v>0</v>
      </c>
      <c r="BB262" s="270">
        <v>0</v>
      </c>
      <c r="BC262" s="270">
        <v>0</v>
      </c>
      <c r="BD262" s="270">
        <v>0</v>
      </c>
      <c r="BE262" s="270">
        <v>0</v>
      </c>
      <c r="BF262" s="270">
        <v>0</v>
      </c>
      <c r="BG262" s="270">
        <v>0</v>
      </c>
      <c r="BH262" s="270">
        <v>0</v>
      </c>
      <c r="BI262" s="270">
        <v>0</v>
      </c>
      <c r="BJ262" s="270">
        <v>0</v>
      </c>
      <c r="BK262" s="270">
        <v>0</v>
      </c>
      <c r="BL262" s="270">
        <v>0</v>
      </c>
      <c r="BM262" s="270">
        <v>0</v>
      </c>
      <c r="BN262" s="270">
        <v>0</v>
      </c>
      <c r="BO262" s="270">
        <v>0</v>
      </c>
      <c r="BP262" s="270">
        <v>0</v>
      </c>
      <c r="BQ262" s="270">
        <v>0</v>
      </c>
      <c r="BR262" s="270">
        <v>0</v>
      </c>
      <c r="BS262" s="270">
        <v>0</v>
      </c>
      <c r="BT262" s="298">
        <v>0</v>
      </c>
      <c r="BU262" s="298">
        <v>0</v>
      </c>
      <c r="BV262" s="298">
        <v>0</v>
      </c>
      <c r="BW262" s="298">
        <v>0</v>
      </c>
      <c r="BX262" s="298">
        <v>0</v>
      </c>
      <c r="BY262" s="298">
        <v>0</v>
      </c>
      <c r="BZ262" s="298">
        <v>0</v>
      </c>
      <c r="CA262" s="298">
        <v>0</v>
      </c>
      <c r="CB262" s="298">
        <v>0</v>
      </c>
      <c r="CC262" s="298">
        <v>0</v>
      </c>
      <c r="CD262" s="298">
        <v>0</v>
      </c>
      <c r="CE262" s="298">
        <v>0</v>
      </c>
      <c r="CF262" s="298">
        <v>0</v>
      </c>
      <c r="CG262" s="298">
        <v>0</v>
      </c>
      <c r="CH262" s="298">
        <v>10432991</v>
      </c>
      <c r="CI262" s="298">
        <v>0</v>
      </c>
      <c r="CJ262" s="298">
        <v>0</v>
      </c>
      <c r="CK262" s="298">
        <v>0</v>
      </c>
      <c r="CL262" s="298">
        <v>0</v>
      </c>
      <c r="CM262" s="298">
        <v>0</v>
      </c>
      <c r="CN262" s="298">
        <v>0</v>
      </c>
      <c r="CO262" s="298">
        <v>0</v>
      </c>
      <c r="CP262" s="298">
        <v>0</v>
      </c>
      <c r="CQ262" s="298">
        <v>0</v>
      </c>
    </row>
    <row r="263" spans="1:95" ht="172.8" x14ac:dyDescent="0.3">
      <c r="A263" s="270">
        <v>603</v>
      </c>
      <c r="B263" s="270">
        <v>603</v>
      </c>
      <c r="C263" s="963" t="s">
        <v>692</v>
      </c>
      <c r="D263" s="270"/>
      <c r="E263" s="270">
        <v>3</v>
      </c>
      <c r="F263" s="270">
        <v>1</v>
      </c>
      <c r="G263" s="270">
        <v>2</v>
      </c>
      <c r="H263" s="270">
        <v>2</v>
      </c>
      <c r="I263" s="270">
        <v>1</v>
      </c>
      <c r="J263" s="270">
        <v>2</v>
      </c>
      <c r="K263" s="270">
        <v>1</v>
      </c>
      <c r="L263" s="270">
        <v>4</v>
      </c>
      <c r="M263" s="270">
        <v>4</v>
      </c>
      <c r="N263" s="270">
        <v>4</v>
      </c>
      <c r="O263" s="270">
        <v>1</v>
      </c>
      <c r="P263" s="270">
        <v>2</v>
      </c>
      <c r="Q263" s="270">
        <v>1</v>
      </c>
      <c r="R263" s="270">
        <v>2</v>
      </c>
      <c r="S263" s="270">
        <v>1</v>
      </c>
      <c r="T263" s="270">
        <v>1</v>
      </c>
      <c r="U263" s="270">
        <v>1</v>
      </c>
      <c r="V263" s="270">
        <v>1</v>
      </c>
      <c r="W263" s="270">
        <v>1</v>
      </c>
      <c r="X263" s="270">
        <v>1</v>
      </c>
      <c r="Y263" s="270">
        <v>2</v>
      </c>
      <c r="Z263" s="270">
        <v>2</v>
      </c>
      <c r="AA263" s="270">
        <v>1</v>
      </c>
      <c r="AB263" s="270">
        <v>5</v>
      </c>
      <c r="AC263" s="270">
        <v>5</v>
      </c>
      <c r="AD263" s="270">
        <v>2</v>
      </c>
      <c r="AE263" s="270">
        <v>1</v>
      </c>
      <c r="AF263" s="270">
        <v>1</v>
      </c>
      <c r="AG263" s="270">
        <v>2</v>
      </c>
      <c r="AH263" s="270">
        <v>1</v>
      </c>
      <c r="AI263" s="270">
        <v>2</v>
      </c>
      <c r="AJ263" s="270">
        <v>1</v>
      </c>
      <c r="AK263" s="270">
        <v>2</v>
      </c>
      <c r="AL263" s="270">
        <v>2</v>
      </c>
      <c r="AM263" s="270">
        <v>0</v>
      </c>
      <c r="AN263" s="270">
        <v>2</v>
      </c>
      <c r="AO263" s="270">
        <v>2</v>
      </c>
      <c r="AP263" s="270">
        <v>1</v>
      </c>
      <c r="AQ263" s="270">
        <v>5</v>
      </c>
      <c r="AR263" s="270">
        <v>1</v>
      </c>
      <c r="AS263" s="270">
        <v>2</v>
      </c>
      <c r="AT263" s="270">
        <v>5</v>
      </c>
      <c r="AU263" s="270">
        <v>2</v>
      </c>
      <c r="AV263" s="270">
        <v>2</v>
      </c>
      <c r="AW263" s="270">
        <v>2</v>
      </c>
      <c r="AX263" s="270">
        <v>1</v>
      </c>
      <c r="AY263" s="270">
        <v>2</v>
      </c>
      <c r="AZ263" s="270">
        <v>2</v>
      </c>
      <c r="BA263" s="270">
        <v>2</v>
      </c>
      <c r="BB263" s="270">
        <v>1</v>
      </c>
      <c r="BC263" s="270">
        <v>4</v>
      </c>
      <c r="BD263" s="270">
        <v>2</v>
      </c>
      <c r="BE263" s="270">
        <v>2</v>
      </c>
      <c r="BF263" s="270">
        <v>1</v>
      </c>
      <c r="BG263" s="270">
        <v>2</v>
      </c>
      <c r="BH263" s="270">
        <v>1</v>
      </c>
      <c r="BI263" s="270">
        <v>1</v>
      </c>
      <c r="BJ263" s="270">
        <v>1</v>
      </c>
      <c r="BK263" s="270">
        <v>1</v>
      </c>
      <c r="BL263" s="270">
        <v>2</v>
      </c>
      <c r="BM263" s="270">
        <v>2</v>
      </c>
      <c r="BN263" s="270">
        <v>2</v>
      </c>
      <c r="BO263" s="270">
        <v>1</v>
      </c>
      <c r="BP263" s="270">
        <v>2</v>
      </c>
      <c r="BQ263" s="270">
        <v>1</v>
      </c>
      <c r="BR263" s="270">
        <v>1</v>
      </c>
      <c r="BS263" s="270">
        <v>1</v>
      </c>
      <c r="BT263" s="298">
        <v>1</v>
      </c>
      <c r="BU263" s="298">
        <v>2</v>
      </c>
      <c r="BV263" s="298">
        <v>5</v>
      </c>
      <c r="BW263" s="298">
        <v>2</v>
      </c>
      <c r="BX263" s="298">
        <v>2</v>
      </c>
      <c r="BY263" s="298">
        <v>2</v>
      </c>
      <c r="BZ263" s="298">
        <v>0</v>
      </c>
      <c r="CA263" s="298">
        <v>4</v>
      </c>
      <c r="CB263" s="298">
        <v>1</v>
      </c>
      <c r="CC263" s="298">
        <v>1</v>
      </c>
      <c r="CD263" s="298">
        <v>4</v>
      </c>
      <c r="CE263" s="298">
        <v>2</v>
      </c>
      <c r="CF263" s="298">
        <v>5</v>
      </c>
      <c r="CG263" s="298">
        <v>2</v>
      </c>
      <c r="CH263" s="298">
        <v>2</v>
      </c>
      <c r="CI263" s="298">
        <v>1</v>
      </c>
      <c r="CJ263" s="298">
        <v>1</v>
      </c>
      <c r="CK263" s="298">
        <v>4</v>
      </c>
      <c r="CL263" s="298">
        <v>1</v>
      </c>
      <c r="CM263" s="298">
        <v>2</v>
      </c>
      <c r="CN263" s="298">
        <v>1</v>
      </c>
      <c r="CO263" s="298">
        <v>2</v>
      </c>
      <c r="CP263" s="298">
        <v>4</v>
      </c>
      <c r="CQ263" s="298">
        <v>2</v>
      </c>
    </row>
    <row r="264" spans="1:95" ht="115.2" x14ac:dyDescent="0.3">
      <c r="A264" s="270"/>
      <c r="B264" s="270">
        <v>604</v>
      </c>
      <c r="C264" s="963" t="s">
        <v>693</v>
      </c>
      <c r="D264" s="270"/>
      <c r="E264" s="270"/>
      <c r="F264" s="270"/>
      <c r="G264" s="270"/>
      <c r="H264" s="270"/>
      <c r="I264" s="270"/>
      <c r="J264" s="270"/>
      <c r="K264" s="270"/>
      <c r="L264" s="270"/>
      <c r="M264" s="270"/>
      <c r="N264" s="270"/>
      <c r="O264" s="270"/>
      <c r="P264" s="270"/>
      <c r="Q264" s="270"/>
      <c r="R264" s="270"/>
      <c r="S264" s="270"/>
      <c r="T264" s="270"/>
      <c r="U264" s="270"/>
      <c r="V264" s="270"/>
      <c r="W264" s="270"/>
      <c r="X264" s="270"/>
      <c r="Y264" s="270"/>
      <c r="Z264" s="270"/>
      <c r="AA264" s="270"/>
      <c r="AB264" s="270"/>
      <c r="AC264" s="270"/>
      <c r="AD264" s="270"/>
      <c r="AE264" s="270"/>
      <c r="AF264" s="270"/>
      <c r="AG264" s="270"/>
      <c r="AH264" s="270"/>
      <c r="AI264" s="270"/>
      <c r="AJ264" s="270"/>
      <c r="AK264" s="270"/>
      <c r="AL264" s="270"/>
      <c r="AM264" s="270"/>
      <c r="AN264" s="270"/>
      <c r="AO264" s="270"/>
      <c r="AP264" s="270"/>
      <c r="AQ264" s="270"/>
      <c r="AR264" s="270"/>
      <c r="AS264" s="270"/>
      <c r="AT264" s="270"/>
      <c r="AU264" s="270"/>
      <c r="AV264" s="270"/>
      <c r="AW264" s="270"/>
      <c r="AX264" s="270"/>
      <c r="AY264" s="270"/>
      <c r="AZ264" s="270"/>
      <c r="BA264" s="270"/>
      <c r="BB264" s="270"/>
      <c r="BC264" s="270"/>
      <c r="BD264" s="270"/>
      <c r="BE264" s="270"/>
      <c r="BF264" s="270"/>
      <c r="BG264" s="270"/>
      <c r="BH264" s="270"/>
      <c r="BI264" s="270"/>
      <c r="BJ264" s="270"/>
      <c r="BK264" s="270"/>
      <c r="BL264" s="270"/>
      <c r="BM264" s="270"/>
      <c r="BN264" s="270"/>
      <c r="BO264" s="270"/>
      <c r="BP264" s="270"/>
      <c r="BQ264" s="270"/>
      <c r="BR264" s="270"/>
      <c r="BS264" s="270"/>
    </row>
    <row r="265" spans="1:95" x14ac:dyDescent="0.3">
      <c r="A265" s="270">
        <v>605</v>
      </c>
      <c r="B265" s="270">
        <v>605</v>
      </c>
      <c r="C265" s="270" t="s">
        <v>695</v>
      </c>
      <c r="D265" s="270"/>
      <c r="E265" s="270">
        <v>1</v>
      </c>
      <c r="F265" s="270">
        <v>1</v>
      </c>
      <c r="G265" s="270">
        <v>1</v>
      </c>
      <c r="H265" s="270">
        <v>1</v>
      </c>
      <c r="I265" s="270">
        <v>1</v>
      </c>
      <c r="J265" s="270">
        <v>1</v>
      </c>
      <c r="K265" s="270">
        <v>1</v>
      </c>
      <c r="L265" s="270">
        <v>1</v>
      </c>
      <c r="M265" s="270">
        <v>1</v>
      </c>
      <c r="N265" s="270">
        <v>1</v>
      </c>
      <c r="O265" s="270">
        <v>1</v>
      </c>
      <c r="P265" s="270">
        <v>1</v>
      </c>
      <c r="Q265" s="270">
        <v>1</v>
      </c>
      <c r="R265" s="270">
        <v>1</v>
      </c>
      <c r="S265" s="270">
        <v>1</v>
      </c>
      <c r="T265" s="270">
        <v>1</v>
      </c>
      <c r="U265" s="270">
        <v>1</v>
      </c>
      <c r="V265" s="270">
        <v>1</v>
      </c>
      <c r="W265" s="270">
        <v>1</v>
      </c>
      <c r="X265" s="270">
        <v>1</v>
      </c>
      <c r="Y265" s="270">
        <v>1</v>
      </c>
      <c r="Z265" s="270">
        <v>1</v>
      </c>
      <c r="AA265" s="270">
        <v>1</v>
      </c>
      <c r="AB265" s="270">
        <v>1</v>
      </c>
      <c r="AC265" s="270">
        <v>1</v>
      </c>
      <c r="AD265" s="270">
        <v>1</v>
      </c>
      <c r="AE265" s="270">
        <v>1</v>
      </c>
      <c r="AF265" s="270">
        <v>1</v>
      </c>
      <c r="AG265" s="270">
        <v>1</v>
      </c>
      <c r="AH265" s="270">
        <v>1</v>
      </c>
      <c r="AI265" s="270">
        <v>1</v>
      </c>
      <c r="AJ265" s="270">
        <v>1</v>
      </c>
      <c r="AK265" s="270">
        <v>1</v>
      </c>
      <c r="AL265" s="270">
        <v>1</v>
      </c>
      <c r="AM265" s="270">
        <v>0</v>
      </c>
      <c r="AN265" s="270">
        <v>1</v>
      </c>
      <c r="AO265" s="270">
        <v>1</v>
      </c>
      <c r="AP265" s="270">
        <v>1</v>
      </c>
      <c r="AQ265" s="270">
        <v>1</v>
      </c>
      <c r="AR265" s="270">
        <v>1</v>
      </c>
      <c r="AS265" s="270">
        <v>1</v>
      </c>
      <c r="AT265" s="270">
        <v>1</v>
      </c>
      <c r="AU265" s="270">
        <v>1</v>
      </c>
      <c r="AV265" s="270">
        <v>1</v>
      </c>
      <c r="AW265" s="270">
        <v>1</v>
      </c>
      <c r="AX265" s="270">
        <v>1</v>
      </c>
      <c r="AY265" s="270">
        <v>1</v>
      </c>
      <c r="AZ265" s="270">
        <v>1</v>
      </c>
      <c r="BA265" s="270">
        <v>1</v>
      </c>
      <c r="BB265" s="270">
        <v>1</v>
      </c>
      <c r="BC265" s="270">
        <v>2</v>
      </c>
      <c r="BD265" s="270">
        <v>1</v>
      </c>
      <c r="BE265" s="270">
        <v>1</v>
      </c>
      <c r="BF265" s="270">
        <v>1</v>
      </c>
      <c r="BG265" s="270">
        <v>1</v>
      </c>
      <c r="BH265" s="270">
        <v>1</v>
      </c>
      <c r="BI265" s="270">
        <v>1</v>
      </c>
      <c r="BJ265" s="270">
        <v>1</v>
      </c>
      <c r="BK265" s="270">
        <v>1</v>
      </c>
      <c r="BL265" s="270">
        <v>1</v>
      </c>
      <c r="BM265" s="270">
        <v>1</v>
      </c>
      <c r="BN265" s="270">
        <v>1</v>
      </c>
      <c r="BO265" s="270">
        <v>1</v>
      </c>
      <c r="BP265" s="270">
        <v>1</v>
      </c>
      <c r="BQ265" s="270">
        <v>1</v>
      </c>
      <c r="BR265" s="270">
        <v>1</v>
      </c>
      <c r="BS265" s="270">
        <v>1</v>
      </c>
      <c r="BT265" s="298">
        <v>1</v>
      </c>
      <c r="BU265" s="298">
        <v>1</v>
      </c>
      <c r="BV265" s="298">
        <v>1</v>
      </c>
      <c r="BW265" s="298">
        <v>1</v>
      </c>
      <c r="BX265" s="298">
        <v>1</v>
      </c>
      <c r="BY265" s="298">
        <v>1</v>
      </c>
      <c r="BZ265" s="298">
        <v>0</v>
      </c>
      <c r="CA265" s="298">
        <v>1</v>
      </c>
      <c r="CB265" s="298">
        <v>1</v>
      </c>
      <c r="CC265" s="298">
        <v>1</v>
      </c>
      <c r="CD265" s="298">
        <v>1</v>
      </c>
      <c r="CE265" s="298">
        <v>1</v>
      </c>
      <c r="CF265" s="298">
        <v>1</v>
      </c>
      <c r="CG265" s="298">
        <v>1</v>
      </c>
      <c r="CH265" s="298">
        <v>1</v>
      </c>
      <c r="CI265" s="298">
        <v>1</v>
      </c>
      <c r="CJ265" s="298">
        <v>1</v>
      </c>
      <c r="CK265" s="298">
        <v>1</v>
      </c>
      <c r="CL265" s="298">
        <v>1</v>
      </c>
      <c r="CM265" s="298">
        <v>1</v>
      </c>
      <c r="CN265" s="298">
        <v>1</v>
      </c>
      <c r="CO265" s="298">
        <v>1</v>
      </c>
      <c r="CP265" s="298">
        <v>1</v>
      </c>
      <c r="CQ265" s="298">
        <v>1</v>
      </c>
    </row>
    <row r="266" spans="1:95" x14ac:dyDescent="0.3">
      <c r="A266" s="270">
        <v>606</v>
      </c>
      <c r="B266" s="270">
        <v>606</v>
      </c>
      <c r="C266" s="270" t="s">
        <v>708</v>
      </c>
      <c r="D266" s="270"/>
      <c r="E266" s="270">
        <v>0</v>
      </c>
      <c r="F266" s="270">
        <v>0</v>
      </c>
      <c r="G266" s="270">
        <v>0</v>
      </c>
      <c r="H266" s="270">
        <v>0</v>
      </c>
      <c r="I266" s="270">
        <v>1</v>
      </c>
      <c r="J266" s="270">
        <v>0</v>
      </c>
      <c r="K266" s="270">
        <v>1</v>
      </c>
      <c r="L266" s="270">
        <v>0</v>
      </c>
      <c r="M266" s="270">
        <v>0</v>
      </c>
      <c r="N266" s="270">
        <v>0</v>
      </c>
      <c r="O266" s="270">
        <v>1</v>
      </c>
      <c r="P266" s="270">
        <v>0</v>
      </c>
      <c r="Q266" s="270">
        <v>0</v>
      </c>
      <c r="R266" s="270">
        <v>0</v>
      </c>
      <c r="S266" s="270">
        <v>0</v>
      </c>
      <c r="T266" s="270">
        <v>0</v>
      </c>
      <c r="U266" s="270">
        <v>1</v>
      </c>
      <c r="V266" s="270">
        <v>0</v>
      </c>
      <c r="W266" s="270">
        <v>0</v>
      </c>
      <c r="X266" s="270">
        <v>0</v>
      </c>
      <c r="Y266" s="270">
        <v>1</v>
      </c>
      <c r="Z266" s="270">
        <v>0</v>
      </c>
      <c r="AA266" s="270">
        <v>1</v>
      </c>
      <c r="AB266" s="270">
        <v>0</v>
      </c>
      <c r="AC266" s="270">
        <v>0</v>
      </c>
      <c r="AD266" s="270">
        <v>0</v>
      </c>
      <c r="AE266" s="270">
        <v>1</v>
      </c>
      <c r="AF266" s="270">
        <v>0</v>
      </c>
      <c r="AG266" s="270">
        <v>1</v>
      </c>
      <c r="AH266" s="270">
        <v>0</v>
      </c>
      <c r="AI266" s="270">
        <v>0</v>
      </c>
      <c r="AJ266" s="270">
        <v>0</v>
      </c>
      <c r="AK266" s="270">
        <v>0</v>
      </c>
      <c r="AL266" s="270">
        <v>1</v>
      </c>
      <c r="AM266" s="270">
        <v>0</v>
      </c>
      <c r="AN266" s="270">
        <v>0</v>
      </c>
      <c r="AO266" s="270">
        <v>0</v>
      </c>
      <c r="AP266" s="270">
        <v>1</v>
      </c>
      <c r="AQ266" s="270">
        <v>0</v>
      </c>
      <c r="AR266" s="270">
        <v>0</v>
      </c>
      <c r="AS266" s="270">
        <v>0</v>
      </c>
      <c r="AT266" s="270">
        <v>0</v>
      </c>
      <c r="AU266" s="270">
        <v>0</v>
      </c>
      <c r="AV266" s="270">
        <v>0</v>
      </c>
      <c r="AW266" s="270">
        <v>0</v>
      </c>
      <c r="AX266" s="270">
        <v>0</v>
      </c>
      <c r="AY266" s="270">
        <v>1</v>
      </c>
      <c r="AZ266" s="270">
        <v>0</v>
      </c>
      <c r="BA266" s="270">
        <v>0</v>
      </c>
      <c r="BB266" s="270">
        <v>0</v>
      </c>
      <c r="BC266" s="270">
        <v>0</v>
      </c>
      <c r="BD266" s="270">
        <v>0</v>
      </c>
      <c r="BE266" s="270">
        <v>0</v>
      </c>
      <c r="BF266" s="270">
        <v>1</v>
      </c>
      <c r="BG266" s="270">
        <v>0</v>
      </c>
      <c r="BH266" s="270">
        <v>1</v>
      </c>
      <c r="BI266" s="270">
        <v>0</v>
      </c>
      <c r="BJ266" s="270">
        <v>0</v>
      </c>
      <c r="BK266" s="270">
        <v>0</v>
      </c>
      <c r="BL266" s="270">
        <v>0</v>
      </c>
      <c r="BM266" s="270">
        <v>0</v>
      </c>
      <c r="BN266" s="270">
        <v>0</v>
      </c>
      <c r="BO266" s="270">
        <v>0</v>
      </c>
      <c r="BP266" s="270">
        <v>0</v>
      </c>
      <c r="BQ266" s="270">
        <v>0</v>
      </c>
      <c r="BR266" s="270">
        <v>0</v>
      </c>
      <c r="BS266" s="270">
        <v>0</v>
      </c>
      <c r="BT266" s="298">
        <v>1</v>
      </c>
      <c r="BU266" s="298">
        <v>0</v>
      </c>
      <c r="BV266" s="298">
        <v>0</v>
      </c>
      <c r="BW266" s="298">
        <v>0</v>
      </c>
      <c r="BX266" s="298">
        <v>1</v>
      </c>
      <c r="BY266" s="298">
        <v>0</v>
      </c>
      <c r="BZ266" s="298">
        <v>0</v>
      </c>
      <c r="CA266" s="298">
        <v>0</v>
      </c>
      <c r="CB266" s="298">
        <v>1</v>
      </c>
      <c r="CC266" s="298">
        <v>1</v>
      </c>
      <c r="CD266" s="298">
        <v>1</v>
      </c>
      <c r="CE266" s="298">
        <v>1</v>
      </c>
      <c r="CF266" s="298">
        <v>0</v>
      </c>
      <c r="CG266" s="298">
        <v>0</v>
      </c>
      <c r="CH266" s="298">
        <v>1</v>
      </c>
      <c r="CI266" s="298">
        <v>1</v>
      </c>
      <c r="CJ266" s="298">
        <v>0</v>
      </c>
      <c r="CK266" s="298">
        <v>0</v>
      </c>
      <c r="CL266" s="298">
        <v>0</v>
      </c>
      <c r="CM266" s="298">
        <v>0</v>
      </c>
      <c r="CN266" s="298">
        <v>1</v>
      </c>
      <c r="CO266" s="298">
        <v>0</v>
      </c>
      <c r="CP266" s="298">
        <v>0</v>
      </c>
      <c r="CQ266" s="298">
        <v>0</v>
      </c>
    </row>
    <row r="267" spans="1:95" x14ac:dyDescent="0.3">
      <c r="A267" s="270">
        <v>607</v>
      </c>
      <c r="B267" s="270">
        <v>607</v>
      </c>
      <c r="C267" s="270" t="s">
        <v>685</v>
      </c>
      <c r="D267" s="270"/>
      <c r="E267" s="1113">
        <v>0</v>
      </c>
      <c r="F267" s="1113">
        <v>0</v>
      </c>
      <c r="G267" s="270">
        <v>0</v>
      </c>
      <c r="H267" s="1113">
        <v>176124</v>
      </c>
      <c r="I267" s="270">
        <v>0</v>
      </c>
      <c r="J267" s="270">
        <v>0</v>
      </c>
      <c r="K267" s="1113">
        <v>1661965</v>
      </c>
      <c r="L267" s="270">
        <v>443488</v>
      </c>
      <c r="M267" s="1113">
        <v>0</v>
      </c>
      <c r="N267" s="270">
        <v>0</v>
      </c>
      <c r="O267" s="1113">
        <v>0</v>
      </c>
      <c r="P267" s="270">
        <v>0</v>
      </c>
      <c r="Q267" s="1113">
        <v>0</v>
      </c>
      <c r="R267" s="1113">
        <v>0</v>
      </c>
      <c r="S267" s="270">
        <v>0</v>
      </c>
      <c r="T267" s="270">
        <v>0</v>
      </c>
      <c r="U267" s="1113">
        <v>0</v>
      </c>
      <c r="V267" s="270">
        <v>695820</v>
      </c>
      <c r="W267" s="270">
        <v>0</v>
      </c>
      <c r="X267" s="270">
        <v>798964</v>
      </c>
      <c r="Y267" s="1113">
        <v>0</v>
      </c>
      <c r="Z267" s="270">
        <v>0</v>
      </c>
      <c r="AA267" s="270">
        <v>22000883</v>
      </c>
      <c r="AB267" s="270">
        <v>0</v>
      </c>
      <c r="AC267" s="270">
        <v>0</v>
      </c>
      <c r="AD267" s="1113">
        <v>0</v>
      </c>
      <c r="AE267" s="270">
        <v>9368960</v>
      </c>
      <c r="AF267" s="270">
        <v>0</v>
      </c>
      <c r="AG267" s="270">
        <v>221503</v>
      </c>
      <c r="AH267" s="270">
        <v>0</v>
      </c>
      <c r="AI267" s="270">
        <v>0</v>
      </c>
      <c r="AJ267" s="1113">
        <v>0</v>
      </c>
      <c r="AK267" s="1113">
        <v>379393</v>
      </c>
      <c r="AL267" s="270">
        <v>0</v>
      </c>
      <c r="AM267" s="270">
        <v>0</v>
      </c>
      <c r="AN267" s="1113">
        <v>0</v>
      </c>
      <c r="AO267" s="270">
        <v>0</v>
      </c>
      <c r="AP267" s="1113">
        <v>980556</v>
      </c>
      <c r="AQ267" s="270">
        <v>0</v>
      </c>
      <c r="AR267" s="270">
        <v>0</v>
      </c>
      <c r="AS267" s="270">
        <v>0</v>
      </c>
      <c r="AT267" s="270">
        <v>0</v>
      </c>
      <c r="AU267" s="270">
        <v>0</v>
      </c>
      <c r="AV267" s="270">
        <v>172976</v>
      </c>
      <c r="AW267" s="270">
        <v>5941280</v>
      </c>
      <c r="AX267" s="270">
        <v>0</v>
      </c>
      <c r="AY267" s="270">
        <v>19912937</v>
      </c>
      <c r="AZ267" s="270">
        <v>0</v>
      </c>
      <c r="BA267" s="270">
        <v>0</v>
      </c>
      <c r="BB267" s="1113">
        <v>0</v>
      </c>
      <c r="BC267" s="270">
        <v>0</v>
      </c>
      <c r="BD267" s="270">
        <v>0</v>
      </c>
      <c r="BE267" s="270">
        <v>0</v>
      </c>
      <c r="BF267" s="1113">
        <v>0</v>
      </c>
      <c r="BG267" s="270">
        <v>0</v>
      </c>
      <c r="BH267" s="270">
        <v>5584318</v>
      </c>
      <c r="BI267" s="1113">
        <v>0</v>
      </c>
      <c r="BJ267" s="270">
        <v>0</v>
      </c>
      <c r="BK267" s="270">
        <v>0</v>
      </c>
      <c r="BL267" s="270">
        <v>5644404</v>
      </c>
      <c r="BM267" s="270">
        <v>1161582</v>
      </c>
      <c r="BN267" s="270">
        <v>0</v>
      </c>
      <c r="BO267" s="270">
        <v>0</v>
      </c>
      <c r="BP267" s="270">
        <v>289383</v>
      </c>
      <c r="BQ267" s="1113">
        <v>3753575</v>
      </c>
      <c r="BR267" s="1113">
        <v>0</v>
      </c>
      <c r="BS267" s="1113">
        <v>0</v>
      </c>
      <c r="BT267" s="298">
        <v>0</v>
      </c>
      <c r="BU267" s="298">
        <v>0</v>
      </c>
      <c r="BV267" s="298">
        <v>0</v>
      </c>
      <c r="BW267" s="298">
        <v>0</v>
      </c>
      <c r="BX267" s="298">
        <v>2579864</v>
      </c>
      <c r="BY267" s="298">
        <v>0</v>
      </c>
      <c r="BZ267" s="298">
        <v>0</v>
      </c>
      <c r="CA267" s="298">
        <v>4455462</v>
      </c>
      <c r="CB267" s="298">
        <v>49044783</v>
      </c>
      <c r="CC267" s="298">
        <v>60598139</v>
      </c>
      <c r="CD267" s="298">
        <v>0</v>
      </c>
      <c r="CE267" s="298">
        <v>2370061</v>
      </c>
      <c r="CF267" s="298">
        <v>0</v>
      </c>
      <c r="CG267" s="298">
        <v>0</v>
      </c>
      <c r="CH267" s="298">
        <v>82136647</v>
      </c>
      <c r="CI267" s="298">
        <v>1699148</v>
      </c>
      <c r="CJ267" s="298">
        <v>0</v>
      </c>
      <c r="CK267" s="298">
        <v>2218204</v>
      </c>
      <c r="CL267" s="298">
        <v>0</v>
      </c>
      <c r="CM267" s="298">
        <v>5367162</v>
      </c>
      <c r="CN267" s="298">
        <v>0</v>
      </c>
      <c r="CO267" s="298">
        <v>0</v>
      </c>
      <c r="CP267" s="298">
        <v>0</v>
      </c>
      <c r="CQ267" s="298">
        <v>4744383</v>
      </c>
    </row>
    <row r="268" spans="1:95" x14ac:dyDescent="0.3">
      <c r="A268" s="270">
        <v>608</v>
      </c>
      <c r="B268" s="270">
        <v>608</v>
      </c>
      <c r="C268" s="270" t="s">
        <v>686</v>
      </c>
      <c r="D268" s="270"/>
      <c r="E268" s="270">
        <v>0</v>
      </c>
      <c r="F268" s="270">
        <v>0</v>
      </c>
      <c r="G268" s="270">
        <v>0</v>
      </c>
      <c r="H268" s="270">
        <v>0</v>
      </c>
      <c r="I268" s="270">
        <v>0</v>
      </c>
      <c r="J268" s="270">
        <v>0</v>
      </c>
      <c r="K268" s="270">
        <v>0</v>
      </c>
      <c r="L268" s="270">
        <v>0</v>
      </c>
      <c r="M268" s="1113">
        <v>0</v>
      </c>
      <c r="N268" s="270">
        <v>0</v>
      </c>
      <c r="O268" s="270">
        <v>0</v>
      </c>
      <c r="P268" s="270">
        <v>0</v>
      </c>
      <c r="Q268" s="270">
        <v>0</v>
      </c>
      <c r="R268" s="1113">
        <v>0</v>
      </c>
      <c r="S268" s="270">
        <v>0</v>
      </c>
      <c r="T268" s="270">
        <v>0</v>
      </c>
      <c r="U268" s="270">
        <v>0</v>
      </c>
      <c r="V268" s="270">
        <v>0</v>
      </c>
      <c r="W268" s="270">
        <v>0</v>
      </c>
      <c r="X268" s="270">
        <v>0</v>
      </c>
      <c r="Y268" s="270">
        <v>0</v>
      </c>
      <c r="Z268" s="270">
        <v>0</v>
      </c>
      <c r="AA268" s="270">
        <v>0</v>
      </c>
      <c r="AB268" s="270">
        <v>0</v>
      </c>
      <c r="AC268" s="270">
        <v>0</v>
      </c>
      <c r="AD268" s="270">
        <v>0</v>
      </c>
      <c r="AE268" s="270">
        <v>0</v>
      </c>
      <c r="AF268" s="270">
        <v>0</v>
      </c>
      <c r="AG268" s="270">
        <v>0</v>
      </c>
      <c r="AH268" s="270">
        <v>0</v>
      </c>
      <c r="AI268" s="270">
        <v>0</v>
      </c>
      <c r="AJ268" s="270">
        <v>0</v>
      </c>
      <c r="AK268" s="270">
        <v>0</v>
      </c>
      <c r="AL268" s="270">
        <v>0</v>
      </c>
      <c r="AM268" s="270">
        <v>0</v>
      </c>
      <c r="AN268" s="270">
        <v>0</v>
      </c>
      <c r="AO268" s="270">
        <v>0</v>
      </c>
      <c r="AP268" s="270">
        <v>0</v>
      </c>
      <c r="AQ268" s="270">
        <v>0</v>
      </c>
      <c r="AR268" s="270">
        <v>0</v>
      </c>
      <c r="AS268" s="270">
        <v>0</v>
      </c>
      <c r="AT268" s="270">
        <v>0</v>
      </c>
      <c r="AU268" s="270">
        <v>0</v>
      </c>
      <c r="AV268" s="270">
        <v>0</v>
      </c>
      <c r="AW268" s="270">
        <v>0</v>
      </c>
      <c r="AX268" s="270">
        <v>0</v>
      </c>
      <c r="AY268" s="270">
        <v>0</v>
      </c>
      <c r="AZ268" s="270">
        <v>0</v>
      </c>
      <c r="BA268" s="270">
        <v>0</v>
      </c>
      <c r="BB268" s="270">
        <v>0</v>
      </c>
      <c r="BC268" s="270">
        <v>0</v>
      </c>
      <c r="BD268" s="270">
        <v>0</v>
      </c>
      <c r="BE268" s="270">
        <v>0</v>
      </c>
      <c r="BF268" s="270">
        <v>0</v>
      </c>
      <c r="BG268" s="270">
        <v>0</v>
      </c>
      <c r="BH268" s="270">
        <v>0</v>
      </c>
      <c r="BI268" s="1113">
        <v>0</v>
      </c>
      <c r="BJ268" s="270">
        <v>0</v>
      </c>
      <c r="BK268" s="270">
        <v>0</v>
      </c>
      <c r="BL268" s="270">
        <v>0</v>
      </c>
      <c r="BM268" s="270">
        <v>0</v>
      </c>
      <c r="BN268" s="270">
        <v>0</v>
      </c>
      <c r="BO268" s="270">
        <v>0</v>
      </c>
      <c r="BP268" s="270">
        <v>0</v>
      </c>
      <c r="BQ268" s="270">
        <v>0</v>
      </c>
      <c r="BR268" s="270">
        <v>0</v>
      </c>
      <c r="BS268" s="270">
        <v>0</v>
      </c>
      <c r="BT268" s="298">
        <v>0</v>
      </c>
      <c r="BU268" s="298">
        <v>0</v>
      </c>
      <c r="BV268" s="298">
        <v>0</v>
      </c>
      <c r="BW268" s="298">
        <v>0</v>
      </c>
      <c r="BX268" s="298">
        <v>0</v>
      </c>
      <c r="BY268" s="298">
        <v>0</v>
      </c>
      <c r="BZ268" s="298">
        <v>0</v>
      </c>
      <c r="CA268" s="298">
        <v>836691</v>
      </c>
      <c r="CB268" s="298">
        <v>3018782</v>
      </c>
      <c r="CC268" s="298">
        <v>0</v>
      </c>
      <c r="CD268" s="298">
        <v>0</v>
      </c>
      <c r="CE268" s="298">
        <v>0</v>
      </c>
      <c r="CF268" s="298">
        <v>0</v>
      </c>
      <c r="CG268" s="298">
        <v>0</v>
      </c>
      <c r="CH268" s="298">
        <v>68448234</v>
      </c>
      <c r="CI268" s="298">
        <v>0</v>
      </c>
      <c r="CJ268" s="298">
        <v>0</v>
      </c>
      <c r="CK268" s="298">
        <v>0</v>
      </c>
      <c r="CL268" s="298">
        <v>0</v>
      </c>
      <c r="CM268" s="298">
        <v>0</v>
      </c>
      <c r="CN268" s="298">
        <v>0</v>
      </c>
      <c r="CO268" s="298">
        <v>0</v>
      </c>
      <c r="CP268" s="298">
        <v>0</v>
      </c>
      <c r="CQ268" s="298">
        <v>0</v>
      </c>
    </row>
    <row r="269" spans="1:95" x14ac:dyDescent="0.3">
      <c r="A269" s="270">
        <v>609</v>
      </c>
      <c r="B269" s="270">
        <v>609</v>
      </c>
      <c r="C269" s="270" t="s">
        <v>1785</v>
      </c>
      <c r="D269" s="270"/>
      <c r="E269" s="270">
        <v>0</v>
      </c>
      <c r="F269" s="270">
        <v>0</v>
      </c>
      <c r="G269" s="270">
        <v>0</v>
      </c>
      <c r="H269" s="270">
        <v>0</v>
      </c>
      <c r="I269" s="270">
        <v>0</v>
      </c>
      <c r="J269" s="270">
        <v>0</v>
      </c>
      <c r="K269" s="270">
        <v>0</v>
      </c>
      <c r="L269" s="270">
        <v>0</v>
      </c>
      <c r="M269" s="270">
        <v>0</v>
      </c>
      <c r="N269" s="270">
        <v>0</v>
      </c>
      <c r="O269" s="270">
        <v>0</v>
      </c>
      <c r="P269" s="270">
        <v>0</v>
      </c>
      <c r="Q269" s="270">
        <v>0</v>
      </c>
      <c r="R269" s="270">
        <v>0</v>
      </c>
      <c r="S269" s="270">
        <v>0</v>
      </c>
      <c r="T269" s="270">
        <v>0</v>
      </c>
      <c r="U269" s="270">
        <v>0</v>
      </c>
      <c r="V269" s="270">
        <v>0</v>
      </c>
      <c r="W269" s="270">
        <v>0</v>
      </c>
      <c r="X269" s="270">
        <v>0</v>
      </c>
      <c r="Y269" s="270">
        <v>0</v>
      </c>
      <c r="Z269" s="270">
        <v>0</v>
      </c>
      <c r="AA269" s="270">
        <v>0</v>
      </c>
      <c r="AB269" s="270">
        <v>0</v>
      </c>
      <c r="AC269" s="270">
        <v>0</v>
      </c>
      <c r="AD269" s="270">
        <v>0</v>
      </c>
      <c r="AE269" s="270">
        <v>0</v>
      </c>
      <c r="AF269" s="270">
        <v>0</v>
      </c>
      <c r="AG269" s="270">
        <v>0</v>
      </c>
      <c r="AH269" s="270">
        <v>0</v>
      </c>
      <c r="AI269" s="270">
        <v>0</v>
      </c>
      <c r="AJ269" s="270">
        <v>0</v>
      </c>
      <c r="AK269" s="270">
        <v>0</v>
      </c>
      <c r="AL269" s="270">
        <v>0</v>
      </c>
      <c r="AM269" s="270">
        <v>0</v>
      </c>
      <c r="AN269" s="270">
        <v>0</v>
      </c>
      <c r="AO269" s="270">
        <v>0</v>
      </c>
      <c r="AP269" s="270">
        <v>0</v>
      </c>
      <c r="AQ269" s="270">
        <v>0</v>
      </c>
      <c r="AR269" s="270">
        <v>0</v>
      </c>
      <c r="AS269" s="270">
        <v>0</v>
      </c>
      <c r="AT269" s="270">
        <v>0</v>
      </c>
      <c r="AU269" s="270">
        <v>0</v>
      </c>
      <c r="AV269" s="270">
        <v>0</v>
      </c>
      <c r="AW269" s="270">
        <v>0</v>
      </c>
      <c r="AX269" s="270">
        <v>0</v>
      </c>
      <c r="AY269" s="270">
        <v>0</v>
      </c>
      <c r="AZ269" s="270">
        <v>0</v>
      </c>
      <c r="BA269" s="270">
        <v>0</v>
      </c>
      <c r="BB269" s="270">
        <v>0</v>
      </c>
      <c r="BC269" s="270">
        <v>0</v>
      </c>
      <c r="BD269" s="270">
        <v>0</v>
      </c>
      <c r="BE269" s="270">
        <v>0</v>
      </c>
      <c r="BF269" s="270">
        <v>0</v>
      </c>
      <c r="BG269" s="270">
        <v>0</v>
      </c>
      <c r="BH269" s="270">
        <v>0</v>
      </c>
      <c r="BI269" s="270">
        <v>0</v>
      </c>
      <c r="BJ269" s="270">
        <v>0</v>
      </c>
      <c r="BK269" s="270">
        <v>0</v>
      </c>
      <c r="BL269" s="270">
        <v>0</v>
      </c>
      <c r="BM269" s="270">
        <v>0</v>
      </c>
      <c r="BN269" s="270">
        <v>0</v>
      </c>
      <c r="BO269" s="270">
        <v>0</v>
      </c>
      <c r="BP269" s="270">
        <v>0</v>
      </c>
      <c r="BQ269" s="270">
        <v>0</v>
      </c>
      <c r="BR269" s="270">
        <v>0</v>
      </c>
      <c r="BS269" s="270">
        <v>0</v>
      </c>
      <c r="BT269" s="298">
        <v>0</v>
      </c>
      <c r="BU269" s="298">
        <v>0</v>
      </c>
      <c r="BV269" s="298">
        <v>0</v>
      </c>
      <c r="BW269" s="298">
        <v>0</v>
      </c>
      <c r="BX269" s="298">
        <v>0</v>
      </c>
      <c r="BY269" s="298">
        <v>0</v>
      </c>
      <c r="BZ269" s="298">
        <v>0</v>
      </c>
      <c r="CA269" s="298">
        <v>18.8</v>
      </c>
      <c r="CB269" s="298">
        <v>6.2</v>
      </c>
      <c r="CC269" s="298">
        <v>0</v>
      </c>
      <c r="CD269" s="298">
        <v>0</v>
      </c>
      <c r="CE269" s="298">
        <v>0</v>
      </c>
      <c r="CF269" s="298">
        <v>0</v>
      </c>
      <c r="CG269" s="298">
        <v>0</v>
      </c>
      <c r="CH269" s="298">
        <v>83.3</v>
      </c>
      <c r="CI269" s="298">
        <v>0</v>
      </c>
      <c r="CJ269" s="298">
        <v>0</v>
      </c>
      <c r="CK269" s="298">
        <v>0</v>
      </c>
      <c r="CL269" s="298">
        <v>0</v>
      </c>
      <c r="CM269" s="298">
        <v>0</v>
      </c>
      <c r="CN269" s="298">
        <v>0</v>
      </c>
      <c r="CO269" s="298">
        <v>0</v>
      </c>
      <c r="CP269" s="298">
        <v>0</v>
      </c>
      <c r="CQ269" s="298">
        <v>0</v>
      </c>
    </row>
    <row r="270" spans="1:95" x14ac:dyDescent="0.3">
      <c r="A270" s="270">
        <v>610</v>
      </c>
      <c r="B270" s="270">
        <v>610</v>
      </c>
      <c r="C270" s="270" t="s">
        <v>687</v>
      </c>
      <c r="D270" s="270"/>
      <c r="E270" s="270">
        <v>0</v>
      </c>
      <c r="F270" s="270">
        <v>0</v>
      </c>
      <c r="G270" s="270">
        <v>0</v>
      </c>
      <c r="H270" s="270">
        <v>0</v>
      </c>
      <c r="I270" s="270">
        <v>0</v>
      </c>
      <c r="J270" s="270">
        <v>0</v>
      </c>
      <c r="K270" s="270">
        <v>0</v>
      </c>
      <c r="L270" s="270">
        <v>0</v>
      </c>
      <c r="M270" s="270">
        <v>0</v>
      </c>
      <c r="N270" s="270">
        <v>0</v>
      </c>
      <c r="O270" s="270">
        <v>0</v>
      </c>
      <c r="P270" s="270">
        <v>0</v>
      </c>
      <c r="Q270" s="270">
        <v>0</v>
      </c>
      <c r="R270" s="270">
        <v>0</v>
      </c>
      <c r="S270" s="270">
        <v>0</v>
      </c>
      <c r="T270" s="270">
        <v>0</v>
      </c>
      <c r="U270" s="270">
        <v>0</v>
      </c>
      <c r="V270" s="270">
        <v>0</v>
      </c>
      <c r="W270" s="270">
        <v>0</v>
      </c>
      <c r="X270" s="270">
        <v>0</v>
      </c>
      <c r="Y270" s="270">
        <v>0</v>
      </c>
      <c r="Z270" s="270">
        <v>0</v>
      </c>
      <c r="AA270" s="270">
        <v>0</v>
      </c>
      <c r="AB270" s="270">
        <v>0</v>
      </c>
      <c r="AC270" s="270">
        <v>0</v>
      </c>
      <c r="AD270" s="270">
        <v>0</v>
      </c>
      <c r="AE270" s="270">
        <v>0</v>
      </c>
      <c r="AF270" s="270">
        <v>0</v>
      </c>
      <c r="AG270" s="270">
        <v>0</v>
      </c>
      <c r="AH270" s="270">
        <v>0</v>
      </c>
      <c r="AI270" s="270">
        <v>0</v>
      </c>
      <c r="AJ270" s="270">
        <v>0</v>
      </c>
      <c r="AK270" s="270">
        <v>0</v>
      </c>
      <c r="AL270" s="270">
        <v>0</v>
      </c>
      <c r="AM270" s="270">
        <v>0</v>
      </c>
      <c r="AN270" s="270">
        <v>0</v>
      </c>
      <c r="AO270" s="270">
        <v>0</v>
      </c>
      <c r="AP270" s="270">
        <v>0</v>
      </c>
      <c r="AQ270" s="270">
        <v>0</v>
      </c>
      <c r="AR270" s="270">
        <v>0</v>
      </c>
      <c r="AS270" s="270">
        <v>0</v>
      </c>
      <c r="AT270" s="270">
        <v>0</v>
      </c>
      <c r="AU270" s="270">
        <v>0</v>
      </c>
      <c r="AV270" s="270">
        <v>0</v>
      </c>
      <c r="AW270" s="270">
        <v>0</v>
      </c>
      <c r="AX270" s="270">
        <v>0</v>
      </c>
      <c r="AY270" s="270">
        <v>0</v>
      </c>
      <c r="AZ270" s="270">
        <v>0</v>
      </c>
      <c r="BA270" s="270">
        <v>0</v>
      </c>
      <c r="BB270" s="270">
        <v>0</v>
      </c>
      <c r="BC270" s="270">
        <v>0</v>
      </c>
      <c r="BD270" s="270">
        <v>0</v>
      </c>
      <c r="BE270" s="270">
        <v>0</v>
      </c>
      <c r="BF270" s="270">
        <v>0</v>
      </c>
      <c r="BG270" s="270">
        <v>0</v>
      </c>
      <c r="BH270" s="270">
        <v>0</v>
      </c>
      <c r="BI270" s="270">
        <v>0</v>
      </c>
      <c r="BJ270" s="270">
        <v>0</v>
      </c>
      <c r="BK270" s="270">
        <v>0</v>
      </c>
      <c r="BL270" s="270">
        <v>0</v>
      </c>
      <c r="BM270" s="270">
        <v>0</v>
      </c>
      <c r="BN270" s="270">
        <v>0</v>
      </c>
      <c r="BO270" s="270">
        <v>0</v>
      </c>
      <c r="BP270" s="270">
        <v>0</v>
      </c>
      <c r="BQ270" s="270">
        <v>0</v>
      </c>
      <c r="BR270" s="270">
        <v>0</v>
      </c>
      <c r="BS270" s="270">
        <v>0</v>
      </c>
      <c r="BT270" s="298">
        <v>0</v>
      </c>
      <c r="BU270" s="298">
        <v>0</v>
      </c>
      <c r="BV270" s="298">
        <v>0</v>
      </c>
      <c r="BW270" s="298">
        <v>0</v>
      </c>
      <c r="BX270" s="298">
        <v>0</v>
      </c>
      <c r="BY270" s="298">
        <v>0</v>
      </c>
      <c r="BZ270" s="298">
        <v>0</v>
      </c>
      <c r="CA270" s="298">
        <v>0</v>
      </c>
      <c r="CB270" s="298">
        <v>0</v>
      </c>
      <c r="CC270" s="298">
        <v>0</v>
      </c>
      <c r="CD270" s="298">
        <v>0</v>
      </c>
      <c r="CE270" s="298">
        <v>0</v>
      </c>
      <c r="CF270" s="298">
        <v>0</v>
      </c>
      <c r="CG270" s="298">
        <v>0</v>
      </c>
      <c r="CH270" s="298">
        <v>0</v>
      </c>
      <c r="CI270" s="298">
        <v>0</v>
      </c>
      <c r="CJ270" s="298">
        <v>0</v>
      </c>
      <c r="CK270" s="298">
        <v>0</v>
      </c>
      <c r="CL270" s="298">
        <v>0</v>
      </c>
      <c r="CM270" s="298">
        <v>0</v>
      </c>
      <c r="CN270" s="298">
        <v>0</v>
      </c>
      <c r="CO270" s="298">
        <v>0</v>
      </c>
      <c r="CP270" s="298">
        <v>0</v>
      </c>
      <c r="CQ270" s="298">
        <v>0</v>
      </c>
    </row>
    <row r="271" spans="1:95" x14ac:dyDescent="0.3">
      <c r="A271" s="270">
        <v>611</v>
      </c>
      <c r="B271" s="270">
        <v>611</v>
      </c>
      <c r="C271" s="270" t="s">
        <v>688</v>
      </c>
      <c r="D271" s="270"/>
      <c r="E271" s="270">
        <v>0</v>
      </c>
      <c r="F271" s="270">
        <v>0</v>
      </c>
      <c r="G271" s="270">
        <v>0</v>
      </c>
      <c r="H271" s="270">
        <v>0</v>
      </c>
      <c r="I271" s="270">
        <v>0</v>
      </c>
      <c r="J271" s="270">
        <v>0</v>
      </c>
      <c r="K271" s="270">
        <v>0</v>
      </c>
      <c r="L271" s="270">
        <v>0</v>
      </c>
      <c r="M271" s="270">
        <v>0</v>
      </c>
      <c r="N271" s="270">
        <v>0</v>
      </c>
      <c r="O271" s="270">
        <v>0</v>
      </c>
      <c r="P271" s="270">
        <v>0</v>
      </c>
      <c r="Q271" s="270">
        <v>0</v>
      </c>
      <c r="R271" s="270">
        <v>0</v>
      </c>
      <c r="S271" s="270">
        <v>0</v>
      </c>
      <c r="T271" s="270">
        <v>0</v>
      </c>
      <c r="U271" s="270">
        <v>0</v>
      </c>
      <c r="V271" s="270">
        <v>0</v>
      </c>
      <c r="W271" s="270">
        <v>0</v>
      </c>
      <c r="X271" s="270">
        <v>0</v>
      </c>
      <c r="Y271" s="270">
        <v>0</v>
      </c>
      <c r="Z271" s="270">
        <v>0</v>
      </c>
      <c r="AA271" s="270">
        <v>0</v>
      </c>
      <c r="AB271" s="270">
        <v>0</v>
      </c>
      <c r="AC271" s="270">
        <v>0</v>
      </c>
      <c r="AD271" s="270">
        <v>0</v>
      </c>
      <c r="AE271" s="270">
        <v>0</v>
      </c>
      <c r="AF271" s="270">
        <v>0</v>
      </c>
      <c r="AG271" s="270">
        <v>0</v>
      </c>
      <c r="AH271" s="270">
        <v>0</v>
      </c>
      <c r="AI271" s="270">
        <v>0</v>
      </c>
      <c r="AJ271" s="270">
        <v>0</v>
      </c>
      <c r="AK271" s="270">
        <v>0</v>
      </c>
      <c r="AL271" s="270">
        <v>0</v>
      </c>
      <c r="AM271" s="270">
        <v>0</v>
      </c>
      <c r="AN271" s="270">
        <v>0</v>
      </c>
      <c r="AO271" s="270">
        <v>0</v>
      </c>
      <c r="AP271" s="270">
        <v>0</v>
      </c>
      <c r="AQ271" s="270">
        <v>0</v>
      </c>
      <c r="AR271" s="270">
        <v>0</v>
      </c>
      <c r="AS271" s="270">
        <v>0</v>
      </c>
      <c r="AT271" s="270">
        <v>0</v>
      </c>
      <c r="AU271" s="270">
        <v>0</v>
      </c>
      <c r="AV271" s="270">
        <v>0</v>
      </c>
      <c r="AW271" s="270">
        <v>0</v>
      </c>
      <c r="AX271" s="270">
        <v>0</v>
      </c>
      <c r="AY271" s="270">
        <v>0</v>
      </c>
      <c r="AZ271" s="270">
        <v>0</v>
      </c>
      <c r="BA271" s="270">
        <v>0</v>
      </c>
      <c r="BB271" s="270">
        <v>0</v>
      </c>
      <c r="BC271" s="270">
        <v>0</v>
      </c>
      <c r="BD271" s="270">
        <v>0</v>
      </c>
      <c r="BE271" s="270">
        <v>0</v>
      </c>
      <c r="BF271" s="270">
        <v>0</v>
      </c>
      <c r="BG271" s="270">
        <v>0</v>
      </c>
      <c r="BH271" s="270">
        <v>0</v>
      </c>
      <c r="BI271" s="270">
        <v>0</v>
      </c>
      <c r="BJ271" s="270">
        <v>0</v>
      </c>
      <c r="BK271" s="270">
        <v>0</v>
      </c>
      <c r="BL271" s="270">
        <v>0</v>
      </c>
      <c r="BM271" s="270">
        <v>0</v>
      </c>
      <c r="BN271" s="270">
        <v>0</v>
      </c>
      <c r="BO271" s="270">
        <v>0</v>
      </c>
      <c r="BP271" s="270">
        <v>0</v>
      </c>
      <c r="BQ271" s="270">
        <v>0</v>
      </c>
      <c r="BR271" s="270">
        <v>0</v>
      </c>
      <c r="BS271" s="270">
        <v>0</v>
      </c>
      <c r="BT271" s="298">
        <v>0</v>
      </c>
      <c r="BU271" s="298">
        <v>0</v>
      </c>
      <c r="BV271" s="298">
        <v>0</v>
      </c>
      <c r="BW271" s="298">
        <v>0</v>
      </c>
      <c r="BX271" s="298">
        <v>0</v>
      </c>
      <c r="BY271" s="298">
        <v>0</v>
      </c>
      <c r="BZ271" s="298">
        <v>0</v>
      </c>
      <c r="CA271" s="298">
        <v>0</v>
      </c>
      <c r="CB271" s="298">
        <v>0</v>
      </c>
      <c r="CC271" s="298">
        <v>0</v>
      </c>
      <c r="CD271" s="298">
        <v>0</v>
      </c>
      <c r="CE271" s="298">
        <v>0</v>
      </c>
      <c r="CF271" s="298">
        <v>0</v>
      </c>
      <c r="CG271" s="298">
        <v>0</v>
      </c>
      <c r="CH271" s="298">
        <v>0</v>
      </c>
      <c r="CI271" s="298">
        <v>0</v>
      </c>
      <c r="CJ271" s="298">
        <v>0</v>
      </c>
      <c r="CK271" s="298">
        <v>0</v>
      </c>
      <c r="CL271" s="298">
        <v>0</v>
      </c>
      <c r="CM271" s="298">
        <v>0</v>
      </c>
      <c r="CN271" s="298">
        <v>0</v>
      </c>
      <c r="CO271" s="298">
        <v>0</v>
      </c>
      <c r="CP271" s="298">
        <v>0</v>
      </c>
      <c r="CQ271" s="298">
        <v>0</v>
      </c>
    </row>
    <row r="272" spans="1:95" x14ac:dyDescent="0.3">
      <c r="A272" s="270">
        <v>612</v>
      </c>
      <c r="B272" s="270">
        <v>612</v>
      </c>
      <c r="C272" s="270" t="s">
        <v>1786</v>
      </c>
      <c r="D272" s="270"/>
      <c r="E272" s="270">
        <v>0</v>
      </c>
      <c r="F272" s="270">
        <v>0</v>
      </c>
      <c r="G272" s="270">
        <v>0</v>
      </c>
      <c r="H272" s="270">
        <v>0</v>
      </c>
      <c r="I272" s="270">
        <v>0</v>
      </c>
      <c r="J272" s="270">
        <v>0</v>
      </c>
      <c r="K272" s="270">
        <v>0</v>
      </c>
      <c r="L272" s="270">
        <v>0</v>
      </c>
      <c r="M272" s="270">
        <v>0</v>
      </c>
      <c r="N272" s="270">
        <v>0</v>
      </c>
      <c r="O272" s="270">
        <v>0</v>
      </c>
      <c r="P272" s="270">
        <v>0</v>
      </c>
      <c r="Q272" s="270">
        <v>0</v>
      </c>
      <c r="R272" s="270">
        <v>0</v>
      </c>
      <c r="S272" s="270">
        <v>0</v>
      </c>
      <c r="T272" s="270">
        <v>0</v>
      </c>
      <c r="U272" s="270">
        <v>0</v>
      </c>
      <c r="V272" s="270">
        <v>0</v>
      </c>
      <c r="W272" s="270">
        <v>0</v>
      </c>
      <c r="X272" s="270">
        <v>0</v>
      </c>
      <c r="Y272" s="270">
        <v>0</v>
      </c>
      <c r="Z272" s="270">
        <v>0</v>
      </c>
      <c r="AA272" s="270">
        <v>0</v>
      </c>
      <c r="AB272" s="270">
        <v>0</v>
      </c>
      <c r="AC272" s="270">
        <v>0</v>
      </c>
      <c r="AD272" s="270">
        <v>0</v>
      </c>
      <c r="AE272" s="270">
        <v>0</v>
      </c>
      <c r="AF272" s="270">
        <v>0</v>
      </c>
      <c r="AG272" s="270">
        <v>0</v>
      </c>
      <c r="AH272" s="270">
        <v>0</v>
      </c>
      <c r="AI272" s="270">
        <v>0</v>
      </c>
      <c r="AJ272" s="270">
        <v>0</v>
      </c>
      <c r="AK272" s="270">
        <v>0</v>
      </c>
      <c r="AL272" s="270">
        <v>0</v>
      </c>
      <c r="AM272" s="270">
        <v>0</v>
      </c>
      <c r="AN272" s="270">
        <v>0</v>
      </c>
      <c r="AO272" s="270">
        <v>0</v>
      </c>
      <c r="AP272" s="270">
        <v>0</v>
      </c>
      <c r="AQ272" s="270">
        <v>0</v>
      </c>
      <c r="AR272" s="270">
        <v>0</v>
      </c>
      <c r="AS272" s="270">
        <v>0</v>
      </c>
      <c r="AT272" s="270">
        <v>0</v>
      </c>
      <c r="AU272" s="270">
        <v>0</v>
      </c>
      <c r="AV272" s="270">
        <v>0</v>
      </c>
      <c r="AW272" s="270">
        <v>0</v>
      </c>
      <c r="AX272" s="270">
        <v>0</v>
      </c>
      <c r="AY272" s="270">
        <v>0</v>
      </c>
      <c r="AZ272" s="270">
        <v>0</v>
      </c>
      <c r="BA272" s="270">
        <v>0</v>
      </c>
      <c r="BB272" s="270">
        <v>0</v>
      </c>
      <c r="BC272" s="270">
        <v>0</v>
      </c>
      <c r="BD272" s="270">
        <v>0</v>
      </c>
      <c r="BE272" s="270">
        <v>0</v>
      </c>
      <c r="BF272" s="270">
        <v>0</v>
      </c>
      <c r="BG272" s="270">
        <v>0</v>
      </c>
      <c r="BH272" s="270">
        <v>0</v>
      </c>
      <c r="BI272" s="270">
        <v>0</v>
      </c>
      <c r="BJ272" s="270">
        <v>0</v>
      </c>
      <c r="BK272" s="270">
        <v>0</v>
      </c>
      <c r="BL272" s="270">
        <v>0</v>
      </c>
      <c r="BM272" s="270">
        <v>0</v>
      </c>
      <c r="BN272" s="270">
        <v>0</v>
      </c>
      <c r="BO272" s="270">
        <v>0</v>
      </c>
      <c r="BP272" s="270">
        <v>0</v>
      </c>
      <c r="BQ272" s="270">
        <v>0</v>
      </c>
      <c r="BR272" s="270">
        <v>0</v>
      </c>
      <c r="BS272" s="270">
        <v>0</v>
      </c>
      <c r="BT272" s="298">
        <v>0</v>
      </c>
      <c r="BU272" s="298">
        <v>0</v>
      </c>
      <c r="BV272" s="298">
        <v>0</v>
      </c>
      <c r="BW272" s="298">
        <v>0</v>
      </c>
      <c r="BX272" s="298">
        <v>0</v>
      </c>
      <c r="BY272" s="298">
        <v>0</v>
      </c>
      <c r="BZ272" s="298">
        <v>0</v>
      </c>
      <c r="CA272" s="298">
        <v>0</v>
      </c>
      <c r="CB272" s="298">
        <v>0</v>
      </c>
      <c r="CC272" s="298">
        <v>0</v>
      </c>
      <c r="CD272" s="298">
        <v>0</v>
      </c>
      <c r="CE272" s="298">
        <v>0</v>
      </c>
      <c r="CF272" s="298">
        <v>0</v>
      </c>
      <c r="CG272" s="298">
        <v>0</v>
      </c>
      <c r="CH272" s="298">
        <v>0</v>
      </c>
      <c r="CI272" s="298">
        <v>0</v>
      </c>
      <c r="CJ272" s="298">
        <v>0</v>
      </c>
      <c r="CK272" s="298">
        <v>0</v>
      </c>
      <c r="CL272" s="298">
        <v>0</v>
      </c>
      <c r="CM272" s="298">
        <v>0</v>
      </c>
      <c r="CN272" s="298">
        <v>0</v>
      </c>
      <c r="CO272" s="298">
        <v>0</v>
      </c>
      <c r="CP272" s="298">
        <v>0</v>
      </c>
      <c r="CQ272" s="298">
        <v>0</v>
      </c>
    </row>
    <row r="273" spans="1:95" x14ac:dyDescent="0.3">
      <c r="A273" s="270">
        <v>613</v>
      </c>
      <c r="B273" s="270">
        <v>613</v>
      </c>
      <c r="C273" s="270" t="s">
        <v>696</v>
      </c>
      <c r="D273" s="270"/>
      <c r="E273" s="270">
        <v>0</v>
      </c>
      <c r="F273" s="270">
        <v>0</v>
      </c>
      <c r="G273" s="270">
        <v>0</v>
      </c>
      <c r="H273" s="270">
        <v>0</v>
      </c>
      <c r="I273" s="270">
        <v>0</v>
      </c>
      <c r="J273" s="270">
        <v>0</v>
      </c>
      <c r="K273" s="270">
        <v>0</v>
      </c>
      <c r="L273" s="270">
        <v>0</v>
      </c>
      <c r="M273" s="270">
        <v>0</v>
      </c>
      <c r="N273" s="270">
        <v>0</v>
      </c>
      <c r="O273" s="270">
        <v>0</v>
      </c>
      <c r="P273" s="270">
        <v>0</v>
      </c>
      <c r="Q273" s="270">
        <v>0</v>
      </c>
      <c r="R273" s="270">
        <v>0</v>
      </c>
      <c r="S273" s="270">
        <v>0</v>
      </c>
      <c r="T273" s="270">
        <v>0</v>
      </c>
      <c r="U273" s="270">
        <v>0</v>
      </c>
      <c r="V273" s="270">
        <v>0</v>
      </c>
      <c r="W273" s="270">
        <v>0</v>
      </c>
      <c r="X273" s="270">
        <v>0</v>
      </c>
      <c r="Y273" s="270">
        <v>0</v>
      </c>
      <c r="Z273" s="270">
        <v>0</v>
      </c>
      <c r="AA273" s="270">
        <v>0</v>
      </c>
      <c r="AB273" s="270">
        <v>0</v>
      </c>
      <c r="AC273" s="270">
        <v>0</v>
      </c>
      <c r="AD273" s="270">
        <v>0</v>
      </c>
      <c r="AE273" s="270">
        <v>0</v>
      </c>
      <c r="AF273" s="270">
        <v>0</v>
      </c>
      <c r="AG273" s="270">
        <v>0</v>
      </c>
      <c r="AH273" s="270">
        <v>0</v>
      </c>
      <c r="AI273" s="270">
        <v>0</v>
      </c>
      <c r="AJ273" s="270">
        <v>0</v>
      </c>
      <c r="AK273" s="270">
        <v>0</v>
      </c>
      <c r="AL273" s="270">
        <v>0</v>
      </c>
      <c r="AM273" s="270">
        <v>0</v>
      </c>
      <c r="AN273" s="270">
        <v>0</v>
      </c>
      <c r="AO273" s="270">
        <v>0</v>
      </c>
      <c r="AP273" s="270">
        <v>0</v>
      </c>
      <c r="AQ273" s="270">
        <v>0</v>
      </c>
      <c r="AR273" s="270">
        <v>0</v>
      </c>
      <c r="AS273" s="270">
        <v>0</v>
      </c>
      <c r="AT273" s="270">
        <v>0</v>
      </c>
      <c r="AU273" s="270">
        <v>0</v>
      </c>
      <c r="AV273" s="270">
        <v>0</v>
      </c>
      <c r="AW273" s="270">
        <v>0</v>
      </c>
      <c r="AX273" s="270">
        <v>0</v>
      </c>
      <c r="AY273" s="1113">
        <v>0</v>
      </c>
      <c r="AZ273" s="270">
        <v>0</v>
      </c>
      <c r="BA273" s="270">
        <v>0</v>
      </c>
      <c r="BB273" s="270">
        <v>0</v>
      </c>
      <c r="BC273" s="270">
        <v>0</v>
      </c>
      <c r="BD273" s="270">
        <v>0</v>
      </c>
      <c r="BE273" s="270">
        <v>0</v>
      </c>
      <c r="BF273" s="270">
        <v>0</v>
      </c>
      <c r="BG273" s="270">
        <v>0</v>
      </c>
      <c r="BH273" s="270">
        <v>0</v>
      </c>
      <c r="BI273" s="270">
        <v>0</v>
      </c>
      <c r="BJ273" s="270">
        <v>0</v>
      </c>
      <c r="BK273" s="270">
        <v>0</v>
      </c>
      <c r="BL273" s="270">
        <v>0</v>
      </c>
      <c r="BM273" s="270">
        <v>0</v>
      </c>
      <c r="BN273" s="270">
        <v>0</v>
      </c>
      <c r="BO273" s="270">
        <v>0</v>
      </c>
      <c r="BP273" s="270">
        <v>0</v>
      </c>
      <c r="BQ273" s="270">
        <v>0</v>
      </c>
      <c r="BR273" s="270">
        <v>0</v>
      </c>
      <c r="BS273" s="270">
        <v>0</v>
      </c>
      <c r="BT273" s="298">
        <v>0</v>
      </c>
      <c r="BU273" s="298">
        <v>0</v>
      </c>
      <c r="BV273" s="298">
        <v>0</v>
      </c>
      <c r="BW273" s="298">
        <v>0</v>
      </c>
      <c r="BX273" s="298">
        <v>0</v>
      </c>
      <c r="BY273" s="298">
        <v>0</v>
      </c>
      <c r="BZ273" s="298">
        <v>0</v>
      </c>
      <c r="CA273" s="298">
        <v>0</v>
      </c>
      <c r="CB273" s="298">
        <v>0</v>
      </c>
      <c r="CC273" s="298">
        <v>0</v>
      </c>
      <c r="CD273" s="298">
        <v>0</v>
      </c>
      <c r="CE273" s="298">
        <v>0</v>
      </c>
      <c r="CF273" s="298">
        <v>0</v>
      </c>
      <c r="CG273" s="298">
        <v>0</v>
      </c>
      <c r="CH273" s="298">
        <v>0</v>
      </c>
      <c r="CI273" s="298">
        <v>0</v>
      </c>
      <c r="CJ273" s="298">
        <v>0</v>
      </c>
      <c r="CK273" s="298">
        <v>0</v>
      </c>
      <c r="CL273" s="298">
        <v>0</v>
      </c>
      <c r="CM273" s="298">
        <v>0</v>
      </c>
      <c r="CN273" s="298">
        <v>0</v>
      </c>
      <c r="CO273" s="298">
        <v>0</v>
      </c>
      <c r="CP273" s="298">
        <v>0</v>
      </c>
      <c r="CQ273" s="298">
        <v>0</v>
      </c>
    </row>
    <row r="274" spans="1:95" x14ac:dyDescent="0.3">
      <c r="A274" s="270">
        <v>614</v>
      </c>
      <c r="B274" s="270">
        <v>614</v>
      </c>
      <c r="C274" s="270" t="s">
        <v>689</v>
      </c>
      <c r="D274" s="270"/>
      <c r="E274" s="270">
        <v>0</v>
      </c>
      <c r="F274" s="270">
        <v>0</v>
      </c>
      <c r="G274" s="270">
        <v>0</v>
      </c>
      <c r="H274" s="270">
        <v>0</v>
      </c>
      <c r="I274" s="270">
        <v>0</v>
      </c>
      <c r="J274" s="270">
        <v>0</v>
      </c>
      <c r="K274" s="270">
        <v>0</v>
      </c>
      <c r="L274" s="270">
        <v>0</v>
      </c>
      <c r="M274" s="270">
        <v>0</v>
      </c>
      <c r="N274" s="270">
        <v>0</v>
      </c>
      <c r="O274" s="270">
        <v>0</v>
      </c>
      <c r="P274" s="270">
        <v>0</v>
      </c>
      <c r="Q274" s="270">
        <v>0</v>
      </c>
      <c r="R274" s="270">
        <v>0</v>
      </c>
      <c r="S274" s="270">
        <v>0</v>
      </c>
      <c r="T274" s="270">
        <v>0</v>
      </c>
      <c r="U274" s="270">
        <v>0</v>
      </c>
      <c r="V274" s="270">
        <v>0</v>
      </c>
      <c r="W274" s="270">
        <v>0</v>
      </c>
      <c r="X274" s="270">
        <v>0</v>
      </c>
      <c r="Y274" s="270">
        <v>0</v>
      </c>
      <c r="Z274" s="270">
        <v>0</v>
      </c>
      <c r="AA274" s="270">
        <v>0</v>
      </c>
      <c r="AB274" s="270">
        <v>0</v>
      </c>
      <c r="AC274" s="270">
        <v>0</v>
      </c>
      <c r="AD274" s="270">
        <v>0</v>
      </c>
      <c r="AE274" s="270">
        <v>0</v>
      </c>
      <c r="AF274" s="270">
        <v>0</v>
      </c>
      <c r="AG274" s="270">
        <v>0</v>
      </c>
      <c r="AH274" s="270">
        <v>0</v>
      </c>
      <c r="AI274" s="270">
        <v>0</v>
      </c>
      <c r="AJ274" s="270">
        <v>0</v>
      </c>
      <c r="AK274" s="270">
        <v>0</v>
      </c>
      <c r="AL274" s="270">
        <v>0</v>
      </c>
      <c r="AM274" s="270">
        <v>0</v>
      </c>
      <c r="AN274" s="270">
        <v>0</v>
      </c>
      <c r="AO274" s="270">
        <v>0</v>
      </c>
      <c r="AP274" s="270">
        <v>0</v>
      </c>
      <c r="AQ274" s="270">
        <v>0</v>
      </c>
      <c r="AR274" s="270">
        <v>0</v>
      </c>
      <c r="AS274" s="270">
        <v>0</v>
      </c>
      <c r="AT274" s="270">
        <v>0</v>
      </c>
      <c r="AU274" s="270">
        <v>0</v>
      </c>
      <c r="AV274" s="270">
        <v>0</v>
      </c>
      <c r="AW274" s="270">
        <v>0</v>
      </c>
      <c r="AX274" s="270">
        <v>0</v>
      </c>
      <c r="AY274" s="270">
        <v>0</v>
      </c>
      <c r="AZ274" s="270">
        <v>0</v>
      </c>
      <c r="BA274" s="270">
        <v>0</v>
      </c>
      <c r="BB274" s="270">
        <v>0</v>
      </c>
      <c r="BC274" s="270">
        <v>0</v>
      </c>
      <c r="BD274" s="270">
        <v>0</v>
      </c>
      <c r="BE274" s="270">
        <v>0</v>
      </c>
      <c r="BF274" s="270">
        <v>0</v>
      </c>
      <c r="BG274" s="270">
        <v>0</v>
      </c>
      <c r="BH274" s="270">
        <v>0</v>
      </c>
      <c r="BI274" s="270">
        <v>0</v>
      </c>
      <c r="BJ274" s="270">
        <v>0</v>
      </c>
      <c r="BK274" s="270">
        <v>0</v>
      </c>
      <c r="BL274" s="270">
        <v>0</v>
      </c>
      <c r="BM274" s="270">
        <v>0</v>
      </c>
      <c r="BN274" s="270">
        <v>0</v>
      </c>
      <c r="BO274" s="270">
        <v>0</v>
      </c>
      <c r="BP274" s="270">
        <v>0</v>
      </c>
      <c r="BQ274" s="270">
        <v>0</v>
      </c>
      <c r="BR274" s="270">
        <v>0</v>
      </c>
      <c r="BS274" s="270">
        <v>0</v>
      </c>
      <c r="BT274" s="298">
        <v>0</v>
      </c>
      <c r="BU274" s="298">
        <v>0</v>
      </c>
      <c r="BV274" s="298">
        <v>0</v>
      </c>
      <c r="BW274" s="298">
        <v>0</v>
      </c>
      <c r="BX274" s="298">
        <v>0</v>
      </c>
      <c r="BY274" s="298">
        <v>0</v>
      </c>
      <c r="BZ274" s="298">
        <v>0</v>
      </c>
      <c r="CA274" s="298">
        <v>0</v>
      </c>
      <c r="CB274" s="298">
        <v>0</v>
      </c>
      <c r="CC274" s="298">
        <v>0</v>
      </c>
      <c r="CD274" s="298">
        <v>0</v>
      </c>
      <c r="CE274" s="298">
        <v>0</v>
      </c>
      <c r="CF274" s="298">
        <v>0</v>
      </c>
      <c r="CG274" s="298">
        <v>0</v>
      </c>
      <c r="CH274" s="298">
        <v>0</v>
      </c>
      <c r="CI274" s="298">
        <v>0</v>
      </c>
      <c r="CJ274" s="298">
        <v>0</v>
      </c>
      <c r="CK274" s="298">
        <v>0</v>
      </c>
      <c r="CL274" s="298">
        <v>0</v>
      </c>
      <c r="CM274" s="298">
        <v>0</v>
      </c>
      <c r="CN274" s="298">
        <v>0</v>
      </c>
      <c r="CO274" s="298">
        <v>0</v>
      </c>
      <c r="CP274" s="298">
        <v>0</v>
      </c>
      <c r="CQ274" s="298">
        <v>0</v>
      </c>
    </row>
    <row r="275" spans="1:95" x14ac:dyDescent="0.3">
      <c r="A275" s="270">
        <v>615</v>
      </c>
      <c r="B275" s="270">
        <v>615</v>
      </c>
      <c r="C275" s="270" t="s">
        <v>1787</v>
      </c>
      <c r="D275" s="270"/>
      <c r="E275" s="270">
        <v>0</v>
      </c>
      <c r="F275" s="270">
        <v>0</v>
      </c>
      <c r="G275" s="270">
        <v>0</v>
      </c>
      <c r="H275" s="270">
        <v>0</v>
      </c>
      <c r="I275" s="270">
        <v>0</v>
      </c>
      <c r="J275" s="270">
        <v>0</v>
      </c>
      <c r="K275" s="270">
        <v>0</v>
      </c>
      <c r="L275" s="270">
        <v>0</v>
      </c>
      <c r="M275" s="270">
        <v>0</v>
      </c>
      <c r="N275" s="270">
        <v>0</v>
      </c>
      <c r="O275" s="270">
        <v>0</v>
      </c>
      <c r="P275" s="270">
        <v>0</v>
      </c>
      <c r="Q275" s="270">
        <v>0</v>
      </c>
      <c r="R275" s="270">
        <v>0</v>
      </c>
      <c r="S275" s="270">
        <v>0</v>
      </c>
      <c r="T275" s="270">
        <v>0</v>
      </c>
      <c r="U275" s="270">
        <v>0</v>
      </c>
      <c r="V275" s="270">
        <v>0</v>
      </c>
      <c r="W275" s="270">
        <v>0</v>
      </c>
      <c r="X275" s="270">
        <v>0</v>
      </c>
      <c r="Y275" s="270">
        <v>0</v>
      </c>
      <c r="Z275" s="270">
        <v>0</v>
      </c>
      <c r="AA275" s="270">
        <v>0</v>
      </c>
      <c r="AB275" s="270">
        <v>0</v>
      </c>
      <c r="AC275" s="270">
        <v>0</v>
      </c>
      <c r="AD275" s="270">
        <v>0</v>
      </c>
      <c r="AE275" s="270">
        <v>0</v>
      </c>
      <c r="AF275" s="270">
        <v>0</v>
      </c>
      <c r="AG275" s="270">
        <v>0</v>
      </c>
      <c r="AH275" s="270">
        <v>0</v>
      </c>
      <c r="AI275" s="270">
        <v>0</v>
      </c>
      <c r="AJ275" s="270">
        <v>0</v>
      </c>
      <c r="AK275" s="270">
        <v>0</v>
      </c>
      <c r="AL275" s="270">
        <v>0</v>
      </c>
      <c r="AM275" s="270">
        <v>0</v>
      </c>
      <c r="AN275" s="270">
        <v>0</v>
      </c>
      <c r="AO275" s="270">
        <v>0</v>
      </c>
      <c r="AP275" s="270">
        <v>0</v>
      </c>
      <c r="AQ275" s="270">
        <v>0</v>
      </c>
      <c r="AR275" s="270">
        <v>0</v>
      </c>
      <c r="AS275" s="270">
        <v>0</v>
      </c>
      <c r="AT275" s="270">
        <v>0</v>
      </c>
      <c r="AU275" s="270">
        <v>0</v>
      </c>
      <c r="AV275" s="270">
        <v>0</v>
      </c>
      <c r="AW275" s="270">
        <v>0</v>
      </c>
      <c r="AX275" s="270">
        <v>0</v>
      </c>
      <c r="AY275" s="270">
        <v>0</v>
      </c>
      <c r="AZ275" s="270">
        <v>0</v>
      </c>
      <c r="BA275" s="270">
        <v>0</v>
      </c>
      <c r="BB275" s="270">
        <v>0</v>
      </c>
      <c r="BC275" s="270">
        <v>0</v>
      </c>
      <c r="BD275" s="270">
        <v>0</v>
      </c>
      <c r="BE275" s="270">
        <v>0</v>
      </c>
      <c r="BF275" s="270">
        <v>0</v>
      </c>
      <c r="BG275" s="270">
        <v>0</v>
      </c>
      <c r="BH275" s="270">
        <v>0</v>
      </c>
      <c r="BI275" s="270">
        <v>0</v>
      </c>
      <c r="BJ275" s="270">
        <v>0</v>
      </c>
      <c r="BK275" s="270">
        <v>0</v>
      </c>
      <c r="BL275" s="270">
        <v>0</v>
      </c>
      <c r="BM275" s="270">
        <v>0</v>
      </c>
      <c r="BN275" s="270">
        <v>0</v>
      </c>
      <c r="BO275" s="270">
        <v>0</v>
      </c>
      <c r="BP275" s="270">
        <v>0</v>
      </c>
      <c r="BQ275" s="270">
        <v>0</v>
      </c>
      <c r="BR275" s="270">
        <v>0</v>
      </c>
      <c r="BS275" s="270">
        <v>0</v>
      </c>
      <c r="BT275" s="298">
        <v>0</v>
      </c>
      <c r="BU275" s="298">
        <v>0</v>
      </c>
      <c r="BV275" s="298">
        <v>0</v>
      </c>
      <c r="BW275" s="298">
        <v>0</v>
      </c>
      <c r="BX275" s="298">
        <v>0</v>
      </c>
      <c r="BY275" s="298">
        <v>0</v>
      </c>
      <c r="BZ275" s="298">
        <v>0</v>
      </c>
      <c r="CA275" s="298">
        <v>0</v>
      </c>
      <c r="CB275" s="298">
        <v>0</v>
      </c>
      <c r="CC275" s="298">
        <v>0</v>
      </c>
      <c r="CD275" s="298">
        <v>0</v>
      </c>
      <c r="CE275" s="298">
        <v>0</v>
      </c>
      <c r="CF275" s="298">
        <v>0</v>
      </c>
      <c r="CG275" s="298">
        <v>0</v>
      </c>
      <c r="CH275" s="298">
        <v>0</v>
      </c>
      <c r="CI275" s="298">
        <v>0</v>
      </c>
      <c r="CJ275" s="298">
        <v>0</v>
      </c>
      <c r="CK275" s="298">
        <v>0</v>
      </c>
      <c r="CL275" s="298">
        <v>0</v>
      </c>
      <c r="CM275" s="298">
        <v>0</v>
      </c>
      <c r="CN275" s="298">
        <v>0</v>
      </c>
      <c r="CO275" s="298">
        <v>0</v>
      </c>
      <c r="CP275" s="298">
        <v>0</v>
      </c>
      <c r="CQ275" s="298">
        <v>0</v>
      </c>
    </row>
    <row r="276" spans="1:95" x14ac:dyDescent="0.3">
      <c r="A276" s="270">
        <v>616</v>
      </c>
      <c r="B276" s="270">
        <v>616</v>
      </c>
      <c r="C276" s="270" t="s">
        <v>690</v>
      </c>
      <c r="D276" s="270"/>
      <c r="E276" s="270">
        <v>0</v>
      </c>
      <c r="F276" s="270">
        <v>0</v>
      </c>
      <c r="G276" s="270">
        <v>0</v>
      </c>
      <c r="H276" s="270">
        <v>0</v>
      </c>
      <c r="I276" s="270">
        <v>0</v>
      </c>
      <c r="J276" s="270">
        <v>0</v>
      </c>
      <c r="K276" s="270">
        <v>0</v>
      </c>
      <c r="L276" s="270">
        <v>0</v>
      </c>
      <c r="M276" s="270">
        <v>0</v>
      </c>
      <c r="N276" s="270">
        <v>0</v>
      </c>
      <c r="O276" s="270">
        <v>0</v>
      </c>
      <c r="P276" s="270">
        <v>0</v>
      </c>
      <c r="Q276" s="270">
        <v>0</v>
      </c>
      <c r="R276" s="270">
        <v>0</v>
      </c>
      <c r="S276" s="270">
        <v>0</v>
      </c>
      <c r="T276" s="270">
        <v>0</v>
      </c>
      <c r="U276" s="270">
        <v>0</v>
      </c>
      <c r="V276" s="270">
        <v>0</v>
      </c>
      <c r="W276" s="270">
        <v>0</v>
      </c>
      <c r="X276" s="270">
        <v>0</v>
      </c>
      <c r="Y276" s="270">
        <v>0</v>
      </c>
      <c r="Z276" s="270">
        <v>0</v>
      </c>
      <c r="AA276" s="270">
        <v>0</v>
      </c>
      <c r="AB276" s="270">
        <v>0</v>
      </c>
      <c r="AC276" s="270">
        <v>0</v>
      </c>
      <c r="AD276" s="270">
        <v>0</v>
      </c>
      <c r="AE276" s="270">
        <v>0</v>
      </c>
      <c r="AF276" s="270">
        <v>0</v>
      </c>
      <c r="AG276" s="270">
        <v>0</v>
      </c>
      <c r="AH276" s="270">
        <v>0</v>
      </c>
      <c r="AI276" s="270">
        <v>0</v>
      </c>
      <c r="AJ276" s="270">
        <v>0</v>
      </c>
      <c r="AK276" s="270">
        <v>0</v>
      </c>
      <c r="AL276" s="270">
        <v>0</v>
      </c>
      <c r="AM276" s="270">
        <v>0</v>
      </c>
      <c r="AN276" s="270">
        <v>0</v>
      </c>
      <c r="AO276" s="270">
        <v>0</v>
      </c>
      <c r="AP276" s="270">
        <v>0</v>
      </c>
      <c r="AQ276" s="270">
        <v>0</v>
      </c>
      <c r="AR276" s="270">
        <v>0</v>
      </c>
      <c r="AS276" s="270">
        <v>0</v>
      </c>
      <c r="AT276" s="270">
        <v>0</v>
      </c>
      <c r="AU276" s="270">
        <v>0</v>
      </c>
      <c r="AV276" s="270">
        <v>0</v>
      </c>
      <c r="AW276" s="270">
        <v>0</v>
      </c>
      <c r="AX276" s="270">
        <v>0</v>
      </c>
      <c r="AY276" s="270">
        <v>0</v>
      </c>
      <c r="AZ276" s="270">
        <v>0</v>
      </c>
      <c r="BA276" s="270">
        <v>0</v>
      </c>
      <c r="BB276" s="270">
        <v>0</v>
      </c>
      <c r="BC276" s="270">
        <v>0</v>
      </c>
      <c r="BD276" s="270">
        <v>0</v>
      </c>
      <c r="BE276" s="270">
        <v>0</v>
      </c>
      <c r="BF276" s="270">
        <v>0</v>
      </c>
      <c r="BG276" s="270">
        <v>0</v>
      </c>
      <c r="BH276" s="270">
        <v>0</v>
      </c>
      <c r="BI276" s="270">
        <v>0</v>
      </c>
      <c r="BJ276" s="270">
        <v>0</v>
      </c>
      <c r="BK276" s="270">
        <v>0</v>
      </c>
      <c r="BL276" s="270">
        <v>0</v>
      </c>
      <c r="BM276" s="270">
        <v>0</v>
      </c>
      <c r="BN276" s="270">
        <v>0</v>
      </c>
      <c r="BO276" s="270">
        <v>0</v>
      </c>
      <c r="BP276" s="270">
        <v>0</v>
      </c>
      <c r="BQ276" s="270">
        <v>0</v>
      </c>
      <c r="BR276" s="270">
        <v>0</v>
      </c>
      <c r="BS276" s="270">
        <v>0</v>
      </c>
      <c r="BT276" s="298">
        <v>0</v>
      </c>
      <c r="BU276" s="298">
        <v>0</v>
      </c>
      <c r="BV276" s="298">
        <v>0</v>
      </c>
      <c r="BW276" s="298">
        <v>0</v>
      </c>
      <c r="BX276" s="298">
        <v>0</v>
      </c>
      <c r="BY276" s="298">
        <v>0</v>
      </c>
      <c r="BZ276" s="298">
        <v>0</v>
      </c>
      <c r="CA276" s="298">
        <v>0</v>
      </c>
      <c r="CB276" s="298">
        <v>0</v>
      </c>
      <c r="CC276" s="298">
        <v>0</v>
      </c>
      <c r="CD276" s="298">
        <v>0</v>
      </c>
      <c r="CE276" s="298">
        <v>0</v>
      </c>
      <c r="CF276" s="298">
        <v>0</v>
      </c>
      <c r="CG276" s="298">
        <v>0</v>
      </c>
      <c r="CH276" s="298">
        <v>0</v>
      </c>
      <c r="CI276" s="298">
        <v>0</v>
      </c>
      <c r="CJ276" s="298">
        <v>0</v>
      </c>
      <c r="CK276" s="298">
        <v>0</v>
      </c>
      <c r="CL276" s="298">
        <v>0</v>
      </c>
      <c r="CM276" s="298">
        <v>0</v>
      </c>
      <c r="CN276" s="298">
        <v>0</v>
      </c>
      <c r="CO276" s="298">
        <v>0</v>
      </c>
      <c r="CP276" s="298">
        <v>0</v>
      </c>
      <c r="CQ276" s="298">
        <v>0</v>
      </c>
    </row>
    <row r="277" spans="1:95" x14ac:dyDescent="0.3">
      <c r="A277" s="270">
        <v>617</v>
      </c>
      <c r="B277" s="270">
        <v>617</v>
      </c>
      <c r="C277" s="270" t="s">
        <v>691</v>
      </c>
      <c r="D277" s="270"/>
      <c r="E277" s="270">
        <v>0</v>
      </c>
      <c r="F277" s="270">
        <v>0</v>
      </c>
      <c r="G277" s="270">
        <v>0</v>
      </c>
      <c r="H277" s="270">
        <v>0</v>
      </c>
      <c r="I277" s="270">
        <v>0</v>
      </c>
      <c r="J277" s="270">
        <v>0</v>
      </c>
      <c r="K277" s="270">
        <v>0</v>
      </c>
      <c r="L277" s="270">
        <v>0</v>
      </c>
      <c r="M277" s="270">
        <v>0</v>
      </c>
      <c r="N277" s="270">
        <v>0</v>
      </c>
      <c r="O277" s="270">
        <v>0</v>
      </c>
      <c r="P277" s="270">
        <v>0</v>
      </c>
      <c r="Q277" s="270">
        <v>0</v>
      </c>
      <c r="R277" s="270">
        <v>0</v>
      </c>
      <c r="S277" s="270">
        <v>0</v>
      </c>
      <c r="T277" s="270">
        <v>0</v>
      </c>
      <c r="U277" s="270">
        <v>0</v>
      </c>
      <c r="V277" s="270">
        <v>0</v>
      </c>
      <c r="W277" s="270">
        <v>0</v>
      </c>
      <c r="X277" s="270">
        <v>0</v>
      </c>
      <c r="Y277" s="270">
        <v>0</v>
      </c>
      <c r="Z277" s="270">
        <v>0</v>
      </c>
      <c r="AA277" s="270">
        <v>0</v>
      </c>
      <c r="AB277" s="270">
        <v>0</v>
      </c>
      <c r="AC277" s="270">
        <v>0</v>
      </c>
      <c r="AD277" s="270">
        <v>0</v>
      </c>
      <c r="AE277" s="270">
        <v>0</v>
      </c>
      <c r="AF277" s="270">
        <v>0</v>
      </c>
      <c r="AG277" s="270">
        <v>0</v>
      </c>
      <c r="AH277" s="270">
        <v>0</v>
      </c>
      <c r="AI277" s="270">
        <v>0</v>
      </c>
      <c r="AJ277" s="270">
        <v>0</v>
      </c>
      <c r="AK277" s="270">
        <v>0</v>
      </c>
      <c r="AL277" s="270">
        <v>0</v>
      </c>
      <c r="AM277" s="270">
        <v>0</v>
      </c>
      <c r="AN277" s="270">
        <v>0</v>
      </c>
      <c r="AO277" s="270">
        <v>0</v>
      </c>
      <c r="AP277" s="270">
        <v>0</v>
      </c>
      <c r="AQ277" s="270">
        <v>0</v>
      </c>
      <c r="AR277" s="270">
        <v>0</v>
      </c>
      <c r="AS277" s="270">
        <v>0</v>
      </c>
      <c r="AT277" s="270">
        <v>0</v>
      </c>
      <c r="AU277" s="270">
        <v>0</v>
      </c>
      <c r="AV277" s="270">
        <v>0</v>
      </c>
      <c r="AW277" s="270">
        <v>0</v>
      </c>
      <c r="AX277" s="270">
        <v>0</v>
      </c>
      <c r="AY277" s="270">
        <v>0</v>
      </c>
      <c r="AZ277" s="270">
        <v>0</v>
      </c>
      <c r="BA277" s="270">
        <v>0</v>
      </c>
      <c r="BB277" s="270">
        <v>0</v>
      </c>
      <c r="BC277" s="270">
        <v>0</v>
      </c>
      <c r="BD277" s="270">
        <v>0</v>
      </c>
      <c r="BE277" s="270">
        <v>0</v>
      </c>
      <c r="BF277" s="270">
        <v>0</v>
      </c>
      <c r="BG277" s="270">
        <v>0</v>
      </c>
      <c r="BH277" s="270">
        <v>0</v>
      </c>
      <c r="BI277" s="270">
        <v>0</v>
      </c>
      <c r="BJ277" s="270">
        <v>0</v>
      </c>
      <c r="BK277" s="270">
        <v>0</v>
      </c>
      <c r="BL277" s="270">
        <v>0</v>
      </c>
      <c r="BM277" s="270">
        <v>0</v>
      </c>
      <c r="BN277" s="270">
        <v>0</v>
      </c>
      <c r="BO277" s="270">
        <v>0</v>
      </c>
      <c r="BP277" s="270">
        <v>0</v>
      </c>
      <c r="BQ277" s="270">
        <v>0</v>
      </c>
      <c r="BR277" s="270">
        <v>0</v>
      </c>
      <c r="BS277" s="270">
        <v>0</v>
      </c>
      <c r="BT277" s="298">
        <v>0</v>
      </c>
      <c r="BU277" s="298">
        <v>0</v>
      </c>
      <c r="BV277" s="298">
        <v>0</v>
      </c>
      <c r="BW277" s="298">
        <v>0</v>
      </c>
      <c r="BX277" s="298">
        <v>0</v>
      </c>
      <c r="BY277" s="298">
        <v>0</v>
      </c>
      <c r="BZ277" s="298">
        <v>0</v>
      </c>
      <c r="CA277" s="298">
        <v>0</v>
      </c>
      <c r="CB277" s="298">
        <v>0</v>
      </c>
      <c r="CC277" s="298">
        <v>0</v>
      </c>
      <c r="CD277" s="298">
        <v>0</v>
      </c>
      <c r="CE277" s="298">
        <v>0</v>
      </c>
      <c r="CF277" s="298">
        <v>0</v>
      </c>
      <c r="CG277" s="298">
        <v>0</v>
      </c>
      <c r="CH277" s="298">
        <v>0</v>
      </c>
      <c r="CI277" s="298">
        <v>0</v>
      </c>
      <c r="CJ277" s="298">
        <v>0</v>
      </c>
      <c r="CK277" s="298">
        <v>0</v>
      </c>
      <c r="CL277" s="298">
        <v>0</v>
      </c>
      <c r="CM277" s="298">
        <v>0</v>
      </c>
      <c r="CN277" s="298">
        <v>0</v>
      </c>
      <c r="CO277" s="298">
        <v>0</v>
      </c>
      <c r="CP277" s="298">
        <v>0</v>
      </c>
      <c r="CQ277" s="298">
        <v>0</v>
      </c>
    </row>
    <row r="278" spans="1:95" x14ac:dyDescent="0.3">
      <c r="A278" s="270">
        <v>618</v>
      </c>
      <c r="B278" s="270">
        <v>618</v>
      </c>
      <c r="C278" s="270" t="s">
        <v>1788</v>
      </c>
      <c r="D278" s="270"/>
      <c r="E278" s="270">
        <v>0</v>
      </c>
      <c r="F278" s="270">
        <v>0</v>
      </c>
      <c r="G278" s="270">
        <v>0</v>
      </c>
      <c r="H278" s="270">
        <v>0</v>
      </c>
      <c r="I278" s="270">
        <v>0</v>
      </c>
      <c r="J278" s="270">
        <v>0</v>
      </c>
      <c r="K278" s="270">
        <v>0</v>
      </c>
      <c r="L278" s="270">
        <v>0</v>
      </c>
      <c r="M278" s="270">
        <v>0</v>
      </c>
      <c r="N278" s="270">
        <v>0</v>
      </c>
      <c r="O278" s="270">
        <v>0</v>
      </c>
      <c r="P278" s="270">
        <v>0</v>
      </c>
      <c r="Q278" s="270">
        <v>0</v>
      </c>
      <c r="R278" s="270">
        <v>0</v>
      </c>
      <c r="S278" s="270">
        <v>0</v>
      </c>
      <c r="T278" s="270">
        <v>0</v>
      </c>
      <c r="U278" s="270">
        <v>0</v>
      </c>
      <c r="V278" s="270">
        <v>0</v>
      </c>
      <c r="W278" s="270">
        <v>0</v>
      </c>
      <c r="X278" s="270">
        <v>0</v>
      </c>
      <c r="Y278" s="270">
        <v>0</v>
      </c>
      <c r="Z278" s="270">
        <v>0</v>
      </c>
      <c r="AA278" s="270">
        <v>0</v>
      </c>
      <c r="AB278" s="270">
        <v>0</v>
      </c>
      <c r="AC278" s="270">
        <v>0</v>
      </c>
      <c r="AD278" s="270">
        <v>0</v>
      </c>
      <c r="AE278" s="270">
        <v>0</v>
      </c>
      <c r="AF278" s="270">
        <v>0</v>
      </c>
      <c r="AG278" s="270">
        <v>0</v>
      </c>
      <c r="AH278" s="270">
        <v>0</v>
      </c>
      <c r="AI278" s="270">
        <v>0</v>
      </c>
      <c r="AJ278" s="270">
        <v>0</v>
      </c>
      <c r="AK278" s="270">
        <v>0</v>
      </c>
      <c r="AL278" s="270">
        <v>0</v>
      </c>
      <c r="AM278" s="270">
        <v>0</v>
      </c>
      <c r="AN278" s="270">
        <v>0</v>
      </c>
      <c r="AO278" s="270">
        <v>0</v>
      </c>
      <c r="AP278" s="270">
        <v>0</v>
      </c>
      <c r="AQ278" s="270">
        <v>0</v>
      </c>
      <c r="AR278" s="270">
        <v>0</v>
      </c>
      <c r="AS278" s="270">
        <v>0</v>
      </c>
      <c r="AT278" s="270">
        <v>0</v>
      </c>
      <c r="AU278" s="270">
        <v>0</v>
      </c>
      <c r="AV278" s="270">
        <v>0</v>
      </c>
      <c r="AW278" s="270">
        <v>0</v>
      </c>
      <c r="AX278" s="270">
        <v>0</v>
      </c>
      <c r="AY278" s="270">
        <v>0</v>
      </c>
      <c r="AZ278" s="270">
        <v>0</v>
      </c>
      <c r="BA278" s="270">
        <v>0</v>
      </c>
      <c r="BB278" s="270">
        <v>0</v>
      </c>
      <c r="BC278" s="270">
        <v>0</v>
      </c>
      <c r="BD278" s="270">
        <v>0</v>
      </c>
      <c r="BE278" s="270">
        <v>0</v>
      </c>
      <c r="BF278" s="270">
        <v>0</v>
      </c>
      <c r="BG278" s="270">
        <v>0</v>
      </c>
      <c r="BH278" s="270">
        <v>0</v>
      </c>
      <c r="BI278" s="270">
        <v>0</v>
      </c>
      <c r="BJ278" s="270">
        <v>0</v>
      </c>
      <c r="BK278" s="270">
        <v>0</v>
      </c>
      <c r="BL278" s="270">
        <v>0</v>
      </c>
      <c r="BM278" s="270">
        <v>0</v>
      </c>
      <c r="BN278" s="270">
        <v>0</v>
      </c>
      <c r="BO278" s="270">
        <v>0</v>
      </c>
      <c r="BP278" s="270">
        <v>0</v>
      </c>
      <c r="BQ278" s="270">
        <v>0</v>
      </c>
      <c r="BR278" s="270">
        <v>0</v>
      </c>
      <c r="BS278" s="270">
        <v>0</v>
      </c>
      <c r="BT278" s="298">
        <v>0</v>
      </c>
      <c r="BU278" s="298">
        <v>0</v>
      </c>
      <c r="BV278" s="298">
        <v>0</v>
      </c>
      <c r="BW278" s="298">
        <v>0</v>
      </c>
      <c r="BX278" s="298">
        <v>0</v>
      </c>
      <c r="BY278" s="298">
        <v>0</v>
      </c>
      <c r="BZ278" s="298">
        <v>0</v>
      </c>
      <c r="CA278" s="298">
        <v>0</v>
      </c>
      <c r="CB278" s="298">
        <v>0</v>
      </c>
      <c r="CC278" s="298">
        <v>0</v>
      </c>
      <c r="CD278" s="298">
        <v>0</v>
      </c>
      <c r="CE278" s="298">
        <v>0</v>
      </c>
      <c r="CF278" s="298">
        <v>0</v>
      </c>
      <c r="CG278" s="298">
        <v>0</v>
      </c>
      <c r="CH278" s="298">
        <v>0</v>
      </c>
      <c r="CI278" s="298">
        <v>0</v>
      </c>
      <c r="CJ278" s="298">
        <v>0</v>
      </c>
      <c r="CK278" s="298">
        <v>0</v>
      </c>
      <c r="CL278" s="298">
        <v>0</v>
      </c>
      <c r="CM278" s="298">
        <v>0</v>
      </c>
      <c r="CN278" s="298">
        <v>0</v>
      </c>
      <c r="CO278" s="298">
        <v>0</v>
      </c>
      <c r="CP278" s="298">
        <v>0</v>
      </c>
      <c r="CQ278" s="298">
        <v>0</v>
      </c>
    </row>
    <row r="279" spans="1:95" x14ac:dyDescent="0.3">
      <c r="A279" s="270">
        <v>619</v>
      </c>
      <c r="B279" s="270">
        <v>619</v>
      </c>
      <c r="C279" s="270" t="s">
        <v>706</v>
      </c>
      <c r="D279" s="270"/>
      <c r="E279" s="270">
        <v>0</v>
      </c>
      <c r="F279" s="270">
        <v>0</v>
      </c>
      <c r="G279" s="270">
        <v>0</v>
      </c>
      <c r="H279" s="270">
        <v>0</v>
      </c>
      <c r="I279" s="270">
        <v>0</v>
      </c>
      <c r="J279" s="270">
        <v>0</v>
      </c>
      <c r="K279" s="270">
        <v>0</v>
      </c>
      <c r="L279" s="270">
        <v>0</v>
      </c>
      <c r="M279" s="270">
        <v>0</v>
      </c>
      <c r="N279" s="270">
        <v>0</v>
      </c>
      <c r="O279" s="270">
        <v>0</v>
      </c>
      <c r="P279" s="270">
        <v>0</v>
      </c>
      <c r="Q279" s="270">
        <v>0</v>
      </c>
      <c r="R279" s="270">
        <v>0</v>
      </c>
      <c r="S279" s="270">
        <v>0</v>
      </c>
      <c r="T279" s="270">
        <v>0</v>
      </c>
      <c r="U279" s="270">
        <v>0</v>
      </c>
      <c r="V279" s="270">
        <v>0</v>
      </c>
      <c r="W279" s="270">
        <v>0</v>
      </c>
      <c r="X279" s="270">
        <v>0</v>
      </c>
      <c r="Y279" s="270">
        <v>0</v>
      </c>
      <c r="Z279" s="270">
        <v>0</v>
      </c>
      <c r="AA279" s="270">
        <v>0</v>
      </c>
      <c r="AB279" s="270">
        <v>0</v>
      </c>
      <c r="AC279" s="270">
        <v>0</v>
      </c>
      <c r="AD279" s="270">
        <v>0</v>
      </c>
      <c r="AE279" s="270">
        <v>0</v>
      </c>
      <c r="AF279" s="270">
        <v>0</v>
      </c>
      <c r="AG279" s="270">
        <v>0</v>
      </c>
      <c r="AH279" s="270">
        <v>0</v>
      </c>
      <c r="AI279" s="270">
        <v>0</v>
      </c>
      <c r="AJ279" s="270">
        <v>0</v>
      </c>
      <c r="AK279" s="270">
        <v>0</v>
      </c>
      <c r="AL279" s="270">
        <v>0</v>
      </c>
      <c r="AM279" s="270">
        <v>0</v>
      </c>
      <c r="AN279" s="270">
        <v>0</v>
      </c>
      <c r="AO279" s="270">
        <v>0</v>
      </c>
      <c r="AP279" s="270">
        <v>0</v>
      </c>
      <c r="AQ279" s="270">
        <v>0</v>
      </c>
      <c r="AR279" s="270">
        <v>0</v>
      </c>
      <c r="AS279" s="270">
        <v>0</v>
      </c>
      <c r="AT279" s="270">
        <v>0</v>
      </c>
      <c r="AU279" s="270">
        <v>0</v>
      </c>
      <c r="AV279" s="270">
        <v>0</v>
      </c>
      <c r="AW279" s="270">
        <v>0</v>
      </c>
      <c r="AX279" s="270">
        <v>0</v>
      </c>
      <c r="AY279" s="270">
        <v>0</v>
      </c>
      <c r="AZ279" s="270">
        <v>0</v>
      </c>
      <c r="BA279" s="270">
        <v>0</v>
      </c>
      <c r="BB279" s="270">
        <v>0</v>
      </c>
      <c r="BC279" s="270">
        <v>0</v>
      </c>
      <c r="BD279" s="270">
        <v>0</v>
      </c>
      <c r="BE279" s="270">
        <v>0</v>
      </c>
      <c r="BF279" s="270">
        <v>0</v>
      </c>
      <c r="BG279" s="270">
        <v>0</v>
      </c>
      <c r="BH279" s="270">
        <v>0</v>
      </c>
      <c r="BI279" s="270">
        <v>0</v>
      </c>
      <c r="BJ279" s="270">
        <v>0</v>
      </c>
      <c r="BK279" s="270">
        <v>0</v>
      </c>
      <c r="BL279" s="270">
        <v>0</v>
      </c>
      <c r="BM279" s="270">
        <v>0</v>
      </c>
      <c r="BN279" s="270">
        <v>0</v>
      </c>
      <c r="BO279" s="270">
        <v>0</v>
      </c>
      <c r="BP279" s="270">
        <v>0</v>
      </c>
      <c r="BQ279" s="270">
        <v>0</v>
      </c>
      <c r="BR279" s="270">
        <v>0</v>
      </c>
      <c r="BS279" s="270">
        <v>0</v>
      </c>
      <c r="BT279" s="298">
        <v>0</v>
      </c>
      <c r="BU279" s="298">
        <v>0</v>
      </c>
      <c r="BV279" s="298">
        <v>0</v>
      </c>
      <c r="BW279" s="298">
        <v>0</v>
      </c>
      <c r="BX279" s="298">
        <v>0</v>
      </c>
      <c r="BY279" s="298">
        <v>0</v>
      </c>
      <c r="BZ279" s="298">
        <v>0</v>
      </c>
      <c r="CA279" s="298">
        <v>0</v>
      </c>
      <c r="CB279" s="298">
        <v>0</v>
      </c>
      <c r="CC279" s="298">
        <v>0</v>
      </c>
      <c r="CD279" s="298">
        <v>0</v>
      </c>
      <c r="CE279" s="298">
        <v>0</v>
      </c>
      <c r="CF279" s="298">
        <v>0</v>
      </c>
      <c r="CG279" s="298">
        <v>0</v>
      </c>
      <c r="CH279" s="298">
        <v>42</v>
      </c>
      <c r="CI279" s="298">
        <v>0</v>
      </c>
      <c r="CJ279" s="298">
        <v>0</v>
      </c>
      <c r="CK279" s="298">
        <v>0</v>
      </c>
      <c r="CL279" s="298">
        <v>0</v>
      </c>
      <c r="CM279" s="298">
        <v>0</v>
      </c>
      <c r="CN279" s="298">
        <v>0</v>
      </c>
      <c r="CO279" s="298">
        <v>0</v>
      </c>
      <c r="CP279" s="298">
        <v>0</v>
      </c>
      <c r="CQ279" s="298">
        <v>0</v>
      </c>
    </row>
    <row r="280" spans="1:95" x14ac:dyDescent="0.3">
      <c r="A280" s="270">
        <v>620</v>
      </c>
      <c r="B280" s="270">
        <v>620</v>
      </c>
      <c r="C280" s="270" t="s">
        <v>700</v>
      </c>
      <c r="D280" s="270"/>
      <c r="E280" s="270">
        <v>2</v>
      </c>
      <c r="F280" s="270">
        <v>2</v>
      </c>
      <c r="G280" s="270">
        <v>2</v>
      </c>
      <c r="H280" s="270">
        <v>1</v>
      </c>
      <c r="I280" s="270">
        <v>2</v>
      </c>
      <c r="J280" s="270">
        <v>2</v>
      </c>
      <c r="K280" s="270">
        <v>0</v>
      </c>
      <c r="L280" s="270">
        <v>2</v>
      </c>
      <c r="M280" s="270">
        <v>0</v>
      </c>
      <c r="N280" s="270">
        <v>2</v>
      </c>
      <c r="O280" s="270">
        <v>1</v>
      </c>
      <c r="P280" s="270">
        <v>2</v>
      </c>
      <c r="Q280" s="270">
        <v>2</v>
      </c>
      <c r="R280" s="270">
        <v>2</v>
      </c>
      <c r="S280" s="270">
        <v>2</v>
      </c>
      <c r="T280" s="270">
        <v>2</v>
      </c>
      <c r="U280" s="270">
        <v>2</v>
      </c>
      <c r="V280" s="270">
        <v>2</v>
      </c>
      <c r="W280" s="270">
        <v>2</v>
      </c>
      <c r="X280" s="270">
        <v>2</v>
      </c>
      <c r="Y280" s="270">
        <v>2</v>
      </c>
      <c r="Z280" s="270">
        <v>2</v>
      </c>
      <c r="AA280" s="270">
        <v>2</v>
      </c>
      <c r="AB280" s="270">
        <v>2</v>
      </c>
      <c r="AC280" s="270">
        <v>2</v>
      </c>
      <c r="AD280" s="270">
        <v>2</v>
      </c>
      <c r="AE280" s="270">
        <v>2</v>
      </c>
      <c r="AF280" s="270">
        <v>2</v>
      </c>
      <c r="AG280" s="270">
        <v>2</v>
      </c>
      <c r="AH280" s="270">
        <v>2</v>
      </c>
      <c r="AI280" s="270">
        <v>2</v>
      </c>
      <c r="AJ280" s="270">
        <v>2</v>
      </c>
      <c r="AK280" s="270">
        <v>2</v>
      </c>
      <c r="AL280" s="270">
        <v>2</v>
      </c>
      <c r="AM280" s="270">
        <v>0</v>
      </c>
      <c r="AN280" s="270">
        <v>2</v>
      </c>
      <c r="AO280" s="270">
        <v>2</v>
      </c>
      <c r="AP280" s="270">
        <v>2</v>
      </c>
      <c r="AQ280" s="270">
        <v>2</v>
      </c>
      <c r="AR280" s="270">
        <v>2</v>
      </c>
      <c r="AS280" s="270">
        <v>2</v>
      </c>
      <c r="AT280" s="270">
        <v>2</v>
      </c>
      <c r="AU280" s="270">
        <v>2</v>
      </c>
      <c r="AV280" s="270">
        <v>2</v>
      </c>
      <c r="AW280" s="270">
        <v>1</v>
      </c>
      <c r="AX280" s="270">
        <v>2</v>
      </c>
      <c r="AY280" s="270">
        <v>1</v>
      </c>
      <c r="AZ280" s="270">
        <v>2</v>
      </c>
      <c r="BA280" s="270">
        <v>2</v>
      </c>
      <c r="BB280" s="270">
        <v>2</v>
      </c>
      <c r="BC280" s="270">
        <v>2</v>
      </c>
      <c r="BD280" s="270">
        <v>2</v>
      </c>
      <c r="BE280" s="270">
        <v>2</v>
      </c>
      <c r="BF280" s="270">
        <v>2</v>
      </c>
      <c r="BG280" s="270">
        <v>2</v>
      </c>
      <c r="BH280" s="270">
        <v>2</v>
      </c>
      <c r="BI280" s="270">
        <v>2</v>
      </c>
      <c r="BJ280" s="270">
        <v>2</v>
      </c>
      <c r="BK280" s="270">
        <v>2</v>
      </c>
      <c r="BL280" s="270">
        <v>2</v>
      </c>
      <c r="BM280" s="270">
        <v>1</v>
      </c>
      <c r="BN280" s="270">
        <v>2</v>
      </c>
      <c r="BO280" s="270">
        <v>2</v>
      </c>
      <c r="BP280" s="270">
        <v>2</v>
      </c>
      <c r="BQ280" s="270">
        <v>2</v>
      </c>
      <c r="BR280" s="270">
        <v>2</v>
      </c>
      <c r="BS280" s="270">
        <v>0</v>
      </c>
      <c r="BT280" s="298">
        <v>2</v>
      </c>
      <c r="BU280" s="298">
        <v>2</v>
      </c>
      <c r="BV280" s="298">
        <v>2</v>
      </c>
      <c r="BW280" s="298">
        <v>2</v>
      </c>
      <c r="BX280" s="298">
        <v>2</v>
      </c>
      <c r="BY280" s="298">
        <v>2</v>
      </c>
      <c r="BZ280" s="298">
        <v>0</v>
      </c>
      <c r="CA280" s="298">
        <v>1</v>
      </c>
      <c r="CB280" s="298">
        <v>1</v>
      </c>
      <c r="CC280" s="298">
        <v>2</v>
      </c>
      <c r="CD280" s="298">
        <v>2</v>
      </c>
      <c r="CE280" s="298">
        <v>2</v>
      </c>
      <c r="CF280" s="298">
        <v>2</v>
      </c>
      <c r="CG280" s="298">
        <v>2</v>
      </c>
      <c r="CH280" s="298">
        <v>1</v>
      </c>
      <c r="CI280" s="298">
        <v>2</v>
      </c>
      <c r="CJ280" s="298">
        <v>2</v>
      </c>
      <c r="CK280" s="298">
        <v>2</v>
      </c>
      <c r="CL280" s="298">
        <v>2</v>
      </c>
      <c r="CM280" s="298">
        <v>2</v>
      </c>
      <c r="CN280" s="298">
        <v>2</v>
      </c>
      <c r="CO280" s="298">
        <v>2</v>
      </c>
      <c r="CP280" s="298">
        <v>2</v>
      </c>
      <c r="CQ280" s="298">
        <v>2</v>
      </c>
    </row>
    <row r="281" spans="1:95" x14ac:dyDescent="0.3">
      <c r="A281" s="270">
        <v>621</v>
      </c>
      <c r="B281" s="270">
        <v>621</v>
      </c>
      <c r="C281" s="270" t="s">
        <v>1789</v>
      </c>
      <c r="D281" s="270"/>
      <c r="E281" s="270">
        <v>0</v>
      </c>
      <c r="F281" s="270">
        <v>0</v>
      </c>
      <c r="G281" s="270">
        <v>0</v>
      </c>
      <c r="H281" s="270">
        <v>0</v>
      </c>
      <c r="I281" s="270">
        <v>0</v>
      </c>
      <c r="J281" s="270">
        <v>0</v>
      </c>
      <c r="K281" s="270">
        <v>0</v>
      </c>
      <c r="L281" s="270">
        <v>0</v>
      </c>
      <c r="M281" s="270">
        <v>0</v>
      </c>
      <c r="N281" s="270">
        <v>0</v>
      </c>
      <c r="O281" s="270">
        <v>0</v>
      </c>
      <c r="P281" s="270">
        <v>0</v>
      </c>
      <c r="Q281" s="270">
        <v>0</v>
      </c>
      <c r="R281" s="270">
        <v>0</v>
      </c>
      <c r="S281" s="270">
        <v>0</v>
      </c>
      <c r="T281" s="270">
        <v>4406908</v>
      </c>
      <c r="U281" s="270">
        <v>0</v>
      </c>
      <c r="V281" s="270">
        <v>0</v>
      </c>
      <c r="W281" s="270">
        <v>0</v>
      </c>
      <c r="X281" s="270">
        <v>0</v>
      </c>
      <c r="Y281" s="270">
        <v>0</v>
      </c>
      <c r="Z281" s="270">
        <v>0</v>
      </c>
      <c r="AA281" s="270">
        <v>0</v>
      </c>
      <c r="AB281" s="270">
        <v>0</v>
      </c>
      <c r="AC281" s="270">
        <v>0</v>
      </c>
      <c r="AD281" s="270">
        <v>0</v>
      </c>
      <c r="AE281" s="270">
        <v>0</v>
      </c>
      <c r="AF281" s="270">
        <v>0</v>
      </c>
      <c r="AG281" s="270">
        <v>0</v>
      </c>
      <c r="AH281" s="270">
        <v>0</v>
      </c>
      <c r="AI281" s="270">
        <v>0</v>
      </c>
      <c r="AJ281" s="270">
        <v>0</v>
      </c>
      <c r="AK281" s="270">
        <v>0</v>
      </c>
      <c r="AL281" s="270">
        <v>0</v>
      </c>
      <c r="AM281" s="270">
        <v>0</v>
      </c>
      <c r="AN281" s="270">
        <v>0</v>
      </c>
      <c r="AO281" s="270">
        <v>0</v>
      </c>
      <c r="AP281" s="270">
        <v>0</v>
      </c>
      <c r="AQ281" s="270">
        <v>0</v>
      </c>
      <c r="AR281" s="270">
        <v>0</v>
      </c>
      <c r="AS281" s="270">
        <v>0</v>
      </c>
      <c r="AT281" s="1113">
        <v>0</v>
      </c>
      <c r="AU281" s="270">
        <v>0</v>
      </c>
      <c r="AV281" s="270">
        <v>0</v>
      </c>
      <c r="AW281" s="1113">
        <v>0</v>
      </c>
      <c r="AX281" s="270">
        <v>0</v>
      </c>
      <c r="AY281" s="1113">
        <v>0</v>
      </c>
      <c r="AZ281" s="270">
        <v>0</v>
      </c>
      <c r="BA281" s="270">
        <v>0</v>
      </c>
      <c r="BB281" s="270">
        <v>0</v>
      </c>
      <c r="BC281" s="270">
        <v>0</v>
      </c>
      <c r="BD281" s="270">
        <v>0</v>
      </c>
      <c r="BE281" s="270">
        <v>0</v>
      </c>
      <c r="BF281" s="270">
        <v>0</v>
      </c>
      <c r="BG281" s="270">
        <v>0</v>
      </c>
      <c r="BH281" s="270">
        <v>0</v>
      </c>
      <c r="BI281" s="270">
        <v>0</v>
      </c>
      <c r="BJ281" s="270">
        <v>0</v>
      </c>
      <c r="BK281" s="270">
        <v>0</v>
      </c>
      <c r="BL281" s="270">
        <v>0</v>
      </c>
      <c r="BM281" s="270">
        <v>0</v>
      </c>
      <c r="BN281" s="270">
        <v>0</v>
      </c>
      <c r="BO281" s="270">
        <v>0</v>
      </c>
      <c r="BP281" s="270">
        <v>0</v>
      </c>
      <c r="BQ281" s="270">
        <v>0</v>
      </c>
      <c r="BR281" s="270">
        <v>0</v>
      </c>
      <c r="BS281" s="270">
        <v>0</v>
      </c>
      <c r="BT281" s="298">
        <v>0</v>
      </c>
      <c r="BU281" s="298">
        <v>0</v>
      </c>
      <c r="BV281" s="298">
        <v>0</v>
      </c>
      <c r="BW281" s="298">
        <v>0</v>
      </c>
      <c r="BX281" s="298">
        <v>0</v>
      </c>
      <c r="BY281" s="298">
        <v>0</v>
      </c>
      <c r="BZ281" s="298">
        <v>0</v>
      </c>
      <c r="CA281" s="298">
        <v>0</v>
      </c>
      <c r="CB281" s="298">
        <v>0</v>
      </c>
      <c r="CC281" s="298">
        <v>0</v>
      </c>
      <c r="CD281" s="298">
        <v>0</v>
      </c>
      <c r="CE281" s="298">
        <v>0</v>
      </c>
      <c r="CF281" s="298">
        <v>0</v>
      </c>
      <c r="CG281" s="298">
        <v>0</v>
      </c>
      <c r="CH281" s="298">
        <v>0</v>
      </c>
      <c r="CI281" s="298">
        <v>0</v>
      </c>
      <c r="CJ281" s="298">
        <v>0</v>
      </c>
      <c r="CK281" s="298">
        <v>0</v>
      </c>
      <c r="CL281" s="298">
        <v>0</v>
      </c>
      <c r="CM281" s="298">
        <v>0</v>
      </c>
      <c r="CN281" s="298">
        <v>0</v>
      </c>
      <c r="CO281" s="298">
        <v>0</v>
      </c>
      <c r="CP281" s="298">
        <v>0</v>
      </c>
      <c r="CQ281" s="298">
        <v>0</v>
      </c>
    </row>
    <row r="282" spans="1:95" x14ac:dyDescent="0.3">
      <c r="A282" s="270">
        <v>622</v>
      </c>
      <c r="B282" s="270">
        <v>622</v>
      </c>
      <c r="C282" s="270" t="s">
        <v>715</v>
      </c>
      <c r="D282" s="270"/>
      <c r="E282" s="1113">
        <v>0</v>
      </c>
      <c r="F282" s="1113">
        <v>748712</v>
      </c>
      <c r="G282" s="1113">
        <v>170809</v>
      </c>
      <c r="H282" s="1113">
        <v>435087</v>
      </c>
      <c r="I282" s="270">
        <v>220391</v>
      </c>
      <c r="J282" s="1113">
        <v>66663</v>
      </c>
      <c r="K282" s="1113">
        <v>7080255</v>
      </c>
      <c r="L282" s="1113">
        <v>58360</v>
      </c>
      <c r="M282" s="1113">
        <v>0</v>
      </c>
      <c r="N282" s="270">
        <v>0</v>
      </c>
      <c r="O282" s="1113">
        <v>160370</v>
      </c>
      <c r="P282" s="1113">
        <v>0</v>
      </c>
      <c r="Q282" s="1113">
        <v>17081</v>
      </c>
      <c r="R282" s="1113">
        <v>252417</v>
      </c>
      <c r="S282" s="270">
        <v>189313</v>
      </c>
      <c r="T282" s="270">
        <v>1037425</v>
      </c>
      <c r="U282" s="1113">
        <v>1441198</v>
      </c>
      <c r="V282" s="1113">
        <v>516933</v>
      </c>
      <c r="W282" s="1113">
        <v>0</v>
      </c>
      <c r="X282" s="270">
        <v>445051</v>
      </c>
      <c r="Y282" s="1113">
        <v>300101</v>
      </c>
      <c r="Z282" s="1113">
        <v>0</v>
      </c>
      <c r="AA282" s="1113">
        <v>2950956</v>
      </c>
      <c r="AB282" s="1113">
        <v>363680</v>
      </c>
      <c r="AC282" s="1113">
        <v>55750</v>
      </c>
      <c r="AD282" s="1113">
        <v>26096</v>
      </c>
      <c r="AE282" s="270">
        <v>4583838</v>
      </c>
      <c r="AF282" s="1113">
        <v>27282</v>
      </c>
      <c r="AG282" s="270">
        <v>307930</v>
      </c>
      <c r="AH282" s="1113">
        <v>205919</v>
      </c>
      <c r="AI282" s="1113">
        <v>0</v>
      </c>
      <c r="AJ282" s="1113">
        <v>104383</v>
      </c>
      <c r="AK282" s="1113">
        <v>482772</v>
      </c>
      <c r="AL282" s="270">
        <v>541131</v>
      </c>
      <c r="AM282" s="270">
        <v>0</v>
      </c>
      <c r="AN282" s="1113">
        <v>6405</v>
      </c>
      <c r="AO282" s="1113">
        <v>17793</v>
      </c>
      <c r="AP282" s="1113">
        <v>1073722</v>
      </c>
      <c r="AQ282" s="270">
        <v>102960</v>
      </c>
      <c r="AR282" s="1113">
        <v>0</v>
      </c>
      <c r="AS282" s="1113">
        <v>0</v>
      </c>
      <c r="AT282" s="1113">
        <v>88488</v>
      </c>
      <c r="AU282" s="1113">
        <v>0</v>
      </c>
      <c r="AV282" s="270">
        <v>23012</v>
      </c>
      <c r="AW282" s="1113">
        <v>832929</v>
      </c>
      <c r="AX282" s="1113">
        <v>45549</v>
      </c>
      <c r="AY282" s="1113">
        <v>5639058</v>
      </c>
      <c r="AZ282" s="270">
        <v>38432</v>
      </c>
      <c r="BA282" s="270">
        <v>768876</v>
      </c>
      <c r="BB282" s="1113">
        <v>0</v>
      </c>
      <c r="BC282" s="1113">
        <v>94894</v>
      </c>
      <c r="BD282" s="270">
        <v>61681</v>
      </c>
      <c r="BE282" s="270">
        <v>11624</v>
      </c>
      <c r="BF282" s="1113">
        <v>206394</v>
      </c>
      <c r="BG282" s="1113">
        <v>477552</v>
      </c>
      <c r="BH282" s="270">
        <v>3834891</v>
      </c>
      <c r="BI282" s="1113">
        <v>36060</v>
      </c>
      <c r="BJ282" s="1113">
        <v>0</v>
      </c>
      <c r="BK282" s="1113">
        <v>1575235</v>
      </c>
      <c r="BL282" s="1113">
        <v>2993896</v>
      </c>
      <c r="BM282" s="1113">
        <v>1327563</v>
      </c>
      <c r="BN282" s="1113">
        <v>0</v>
      </c>
      <c r="BO282" s="1113">
        <v>54089</v>
      </c>
      <c r="BP282" s="1113">
        <v>476604</v>
      </c>
      <c r="BQ282" s="1113">
        <v>861872</v>
      </c>
      <c r="BR282" s="1113">
        <v>0</v>
      </c>
      <c r="BS282" s="1113">
        <v>8306</v>
      </c>
      <c r="BT282" s="298">
        <v>303896</v>
      </c>
      <c r="BU282" s="298">
        <v>336873</v>
      </c>
      <c r="BV282" s="298">
        <v>66426</v>
      </c>
      <c r="BW282" s="298">
        <v>303423</v>
      </c>
      <c r="BX282" s="298">
        <v>1057353</v>
      </c>
      <c r="BY282" s="298">
        <v>0</v>
      </c>
      <c r="BZ282" s="298">
        <v>0</v>
      </c>
      <c r="CA282" s="298">
        <v>1250936</v>
      </c>
      <c r="CB282" s="298">
        <v>20683026</v>
      </c>
      <c r="CC282" s="298">
        <v>15298988</v>
      </c>
      <c r="CD282" s="298">
        <v>101062</v>
      </c>
      <c r="CE282" s="298">
        <v>533540</v>
      </c>
      <c r="CF282" s="298">
        <v>9489</v>
      </c>
      <c r="CG282" s="298">
        <v>324999</v>
      </c>
      <c r="CH282" s="298">
        <v>42970705</v>
      </c>
      <c r="CI282" s="298">
        <v>1503590</v>
      </c>
      <c r="CJ282" s="298">
        <v>106281</v>
      </c>
      <c r="CK282" s="298">
        <v>564380</v>
      </c>
      <c r="CL282" s="298">
        <v>45549</v>
      </c>
      <c r="CM282" s="298">
        <v>1460888</v>
      </c>
      <c r="CN282" s="298">
        <v>566990</v>
      </c>
      <c r="CO282" s="298">
        <v>134749</v>
      </c>
      <c r="CP282" s="298">
        <v>213036</v>
      </c>
      <c r="CQ282" s="298">
        <v>1301941</v>
      </c>
    </row>
    <row r="283" spans="1:95" x14ac:dyDescent="0.3">
      <c r="A283" s="270">
        <v>624</v>
      </c>
      <c r="B283" s="270">
        <v>624</v>
      </c>
      <c r="C283" s="270" t="s">
        <v>714</v>
      </c>
      <c r="D283" s="270"/>
      <c r="E283" s="270">
        <v>1</v>
      </c>
      <c r="F283" s="270">
        <v>1</v>
      </c>
      <c r="G283" s="270">
        <v>1</v>
      </c>
      <c r="H283" s="270">
        <v>2</v>
      </c>
      <c r="I283" s="270">
        <v>1</v>
      </c>
      <c r="J283" s="270">
        <v>1</v>
      </c>
      <c r="K283" s="270">
        <v>1</v>
      </c>
      <c r="L283" s="270">
        <v>1</v>
      </c>
      <c r="M283" s="270">
        <v>1</v>
      </c>
      <c r="N283" s="270">
        <v>2</v>
      </c>
      <c r="O283" s="270">
        <v>1</v>
      </c>
      <c r="P283" s="270">
        <v>1</v>
      </c>
      <c r="Q283" s="270">
        <v>1</v>
      </c>
      <c r="R283" s="270">
        <v>2</v>
      </c>
      <c r="S283" s="270">
        <v>1</v>
      </c>
      <c r="T283" s="270">
        <v>1</v>
      </c>
      <c r="U283" s="270">
        <v>1</v>
      </c>
      <c r="V283" s="270">
        <v>1</v>
      </c>
      <c r="W283" s="270">
        <v>2</v>
      </c>
      <c r="X283" s="270">
        <v>2</v>
      </c>
      <c r="Y283" s="270">
        <v>2</v>
      </c>
      <c r="Z283" s="270">
        <v>2</v>
      </c>
      <c r="AA283" s="270">
        <v>2</v>
      </c>
      <c r="AB283" s="270">
        <v>1</v>
      </c>
      <c r="AC283" s="270">
        <v>1</v>
      </c>
      <c r="AD283" s="270">
        <v>1</v>
      </c>
      <c r="AE283" s="270">
        <v>1</v>
      </c>
      <c r="AF283" s="270">
        <v>1</v>
      </c>
      <c r="AG283" s="270">
        <v>2</v>
      </c>
      <c r="AH283" s="270">
        <v>1</v>
      </c>
      <c r="AI283" s="270">
        <v>1</v>
      </c>
      <c r="AJ283" s="270">
        <v>1</v>
      </c>
      <c r="AK283" s="270">
        <v>2</v>
      </c>
      <c r="AL283" s="270">
        <v>2</v>
      </c>
      <c r="AM283" s="270">
        <v>0</v>
      </c>
      <c r="AN283" s="270">
        <v>1</v>
      </c>
      <c r="AO283" s="270">
        <v>2</v>
      </c>
      <c r="AP283" s="270">
        <v>2</v>
      </c>
      <c r="AQ283" s="270">
        <v>1</v>
      </c>
      <c r="AR283" s="270">
        <v>2</v>
      </c>
      <c r="AS283" s="270">
        <v>1</v>
      </c>
      <c r="AT283" s="270">
        <v>1</v>
      </c>
      <c r="AU283" s="270">
        <v>1</v>
      </c>
      <c r="AV283" s="270">
        <v>1</v>
      </c>
      <c r="AW283" s="270">
        <v>1</v>
      </c>
      <c r="AX283" s="270">
        <v>1</v>
      </c>
      <c r="AY283" s="270">
        <v>1</v>
      </c>
      <c r="AZ283" s="270">
        <v>1</v>
      </c>
      <c r="BA283" s="270">
        <v>2</v>
      </c>
      <c r="BB283" s="270">
        <v>1</v>
      </c>
      <c r="BC283" s="270">
        <v>1</v>
      </c>
      <c r="BD283" s="270">
        <v>1</v>
      </c>
      <c r="BE283" s="270">
        <v>1</v>
      </c>
      <c r="BF283" s="270">
        <v>1</v>
      </c>
      <c r="BG283" s="270">
        <v>1</v>
      </c>
      <c r="BH283" s="270">
        <v>1</v>
      </c>
      <c r="BI283" s="270">
        <v>2</v>
      </c>
      <c r="BJ283" s="270">
        <v>1</v>
      </c>
      <c r="BK283" s="270">
        <v>2</v>
      </c>
      <c r="BL283" s="270">
        <v>2</v>
      </c>
      <c r="BM283" s="270">
        <v>2</v>
      </c>
      <c r="BN283" s="270">
        <v>1</v>
      </c>
      <c r="BO283" s="270">
        <v>2</v>
      </c>
      <c r="BP283" s="270">
        <v>1</v>
      </c>
      <c r="BQ283" s="270">
        <v>1</v>
      </c>
      <c r="BR283" s="270">
        <v>2</v>
      </c>
      <c r="BS283" s="270">
        <v>0</v>
      </c>
      <c r="BT283" s="298">
        <v>2</v>
      </c>
      <c r="BU283" s="298">
        <v>1</v>
      </c>
      <c r="BV283" s="298">
        <v>2</v>
      </c>
      <c r="BW283" s="298">
        <v>2</v>
      </c>
      <c r="BX283" s="298">
        <v>1</v>
      </c>
      <c r="BY283" s="298">
        <v>2</v>
      </c>
      <c r="BZ283" s="298">
        <v>0</v>
      </c>
      <c r="CA283" s="298">
        <v>2</v>
      </c>
      <c r="CB283" s="298">
        <v>1</v>
      </c>
      <c r="CC283" s="298">
        <v>1</v>
      </c>
      <c r="CD283" s="298">
        <v>1</v>
      </c>
      <c r="CE283" s="298">
        <v>1</v>
      </c>
      <c r="CF283" s="298">
        <v>2</v>
      </c>
      <c r="CG283" s="298">
        <v>1</v>
      </c>
      <c r="CH283" s="298">
        <v>1</v>
      </c>
      <c r="CI283" s="298">
        <v>2</v>
      </c>
      <c r="CJ283" s="298">
        <v>2</v>
      </c>
      <c r="CK283" s="298">
        <v>1</v>
      </c>
      <c r="CL283" s="298">
        <v>2</v>
      </c>
      <c r="CM283" s="298">
        <v>1</v>
      </c>
      <c r="CN283" s="298">
        <v>2</v>
      </c>
      <c r="CO283" s="298">
        <v>1</v>
      </c>
      <c r="CP283" s="298">
        <v>1</v>
      </c>
      <c r="CQ283" s="298">
        <v>1</v>
      </c>
    </row>
    <row r="284" spans="1:95" ht="100.8" x14ac:dyDescent="0.3">
      <c r="A284" s="270">
        <v>625</v>
      </c>
      <c r="B284" s="270">
        <v>625</v>
      </c>
      <c r="C284" s="963" t="s">
        <v>812</v>
      </c>
      <c r="D284" s="270"/>
      <c r="E284" s="270">
        <v>2</v>
      </c>
      <c r="F284" s="270">
        <v>1</v>
      </c>
      <c r="G284" s="270">
        <v>1</v>
      </c>
      <c r="H284" s="270">
        <v>1</v>
      </c>
      <c r="I284" s="270">
        <v>1</v>
      </c>
      <c r="J284" s="270">
        <v>3</v>
      </c>
      <c r="K284" s="270">
        <v>1</v>
      </c>
      <c r="L284" s="270">
        <v>3</v>
      </c>
      <c r="M284" s="270">
        <v>3</v>
      </c>
      <c r="N284" s="270">
        <v>3</v>
      </c>
      <c r="O284" s="270">
        <v>1</v>
      </c>
      <c r="P284" s="270">
        <v>1</v>
      </c>
      <c r="Q284" s="270">
        <v>4</v>
      </c>
      <c r="R284" s="270">
        <v>1</v>
      </c>
      <c r="S284" s="270">
        <v>1</v>
      </c>
      <c r="T284" s="270">
        <v>1</v>
      </c>
      <c r="U284" s="270">
        <v>1</v>
      </c>
      <c r="V284" s="270">
        <v>1</v>
      </c>
      <c r="W284" s="270">
        <v>1</v>
      </c>
      <c r="X284" s="270">
        <v>1</v>
      </c>
      <c r="Y284" s="270">
        <v>3</v>
      </c>
      <c r="Z284" s="270">
        <v>1</v>
      </c>
      <c r="AA284" s="270">
        <v>1</v>
      </c>
      <c r="AB284" s="270">
        <v>3</v>
      </c>
      <c r="AC284" s="270">
        <v>4</v>
      </c>
      <c r="AD284" s="270">
        <v>1</v>
      </c>
      <c r="AE284" s="270">
        <v>1</v>
      </c>
      <c r="AF284" s="270">
        <v>1</v>
      </c>
      <c r="AG284" s="270">
        <v>4</v>
      </c>
      <c r="AH284" s="270">
        <v>1</v>
      </c>
      <c r="AI284" s="270">
        <v>1</v>
      </c>
      <c r="AJ284" s="270">
        <v>1</v>
      </c>
      <c r="AK284" s="270">
        <v>1</v>
      </c>
      <c r="AL284" s="270">
        <v>1</v>
      </c>
      <c r="AM284" s="270">
        <v>0</v>
      </c>
      <c r="AN284" s="270">
        <v>1</v>
      </c>
      <c r="AO284" s="270">
        <v>1</v>
      </c>
      <c r="AP284" s="270">
        <v>1</v>
      </c>
      <c r="AQ284" s="270">
        <v>2</v>
      </c>
      <c r="AR284" s="270">
        <v>1</v>
      </c>
      <c r="AS284" s="270">
        <v>1</v>
      </c>
      <c r="AT284" s="270">
        <v>4</v>
      </c>
      <c r="AU284" s="270">
        <v>1</v>
      </c>
      <c r="AV284" s="270">
        <v>3</v>
      </c>
      <c r="AW284" s="270">
        <v>1</v>
      </c>
      <c r="AX284" s="270">
        <v>1</v>
      </c>
      <c r="AY284" s="270">
        <v>1</v>
      </c>
      <c r="AZ284" s="270">
        <v>1</v>
      </c>
      <c r="BA284" s="270">
        <v>1</v>
      </c>
      <c r="BB284" s="270">
        <v>1</v>
      </c>
      <c r="BC284" s="270">
        <v>3</v>
      </c>
      <c r="BD284" s="270">
        <v>1</v>
      </c>
      <c r="BE284" s="270">
        <v>1</v>
      </c>
      <c r="BF284" s="270">
        <v>3</v>
      </c>
      <c r="BG284" s="270">
        <v>1</v>
      </c>
      <c r="BH284" s="270">
        <v>1</v>
      </c>
      <c r="BI284" s="270">
        <v>1</v>
      </c>
      <c r="BJ284" s="270">
        <v>1</v>
      </c>
      <c r="BK284" s="270">
        <v>1</v>
      </c>
      <c r="BL284" s="270">
        <v>1</v>
      </c>
      <c r="BM284" s="270">
        <v>1</v>
      </c>
      <c r="BN284" s="270">
        <v>1</v>
      </c>
      <c r="BO284" s="270">
        <v>1</v>
      </c>
      <c r="BP284" s="270">
        <v>1</v>
      </c>
      <c r="BQ284" s="270">
        <v>1</v>
      </c>
      <c r="BR284" s="270">
        <v>1</v>
      </c>
      <c r="BS284" s="270">
        <v>1</v>
      </c>
      <c r="BT284" s="298">
        <v>1</v>
      </c>
      <c r="BU284" s="298">
        <v>1</v>
      </c>
      <c r="BV284" s="298">
        <v>4</v>
      </c>
      <c r="BW284" s="298">
        <v>1</v>
      </c>
      <c r="BX284" s="298">
        <v>1</v>
      </c>
      <c r="BY284" s="298">
        <v>1</v>
      </c>
      <c r="BZ284" s="298">
        <v>0</v>
      </c>
      <c r="CA284" s="298">
        <v>3</v>
      </c>
      <c r="CB284" s="298">
        <v>1</v>
      </c>
      <c r="CC284" s="298">
        <v>1</v>
      </c>
      <c r="CD284" s="298">
        <v>3</v>
      </c>
      <c r="CE284" s="298">
        <v>3</v>
      </c>
      <c r="CF284" s="298">
        <v>1</v>
      </c>
      <c r="CG284" s="298">
        <v>1</v>
      </c>
      <c r="CH284" s="298">
        <v>1</v>
      </c>
      <c r="CI284" s="298">
        <v>3</v>
      </c>
      <c r="CJ284" s="298">
        <v>3</v>
      </c>
      <c r="CK284" s="298">
        <v>3</v>
      </c>
      <c r="CL284" s="298">
        <v>1</v>
      </c>
      <c r="CM284" s="298">
        <v>1</v>
      </c>
      <c r="CN284" s="298">
        <v>1</v>
      </c>
      <c r="CO284" s="298">
        <v>1</v>
      </c>
      <c r="CP284" s="298">
        <v>3</v>
      </c>
      <c r="CQ284" s="298">
        <v>1</v>
      </c>
    </row>
    <row r="285" spans="1:95" x14ac:dyDescent="0.3">
      <c r="A285" s="270"/>
      <c r="B285" s="270"/>
      <c r="C285" s="270"/>
      <c r="D285" s="270"/>
      <c r="E285" s="270"/>
      <c r="F285" s="270"/>
      <c r="G285" s="270"/>
      <c r="H285" s="270"/>
      <c r="I285" s="270"/>
      <c r="J285" s="270"/>
      <c r="K285" s="270"/>
      <c r="L285" s="270"/>
      <c r="M285" s="270"/>
      <c r="N285" s="270"/>
      <c r="O285" s="270"/>
      <c r="P285" s="270"/>
      <c r="Q285" s="270"/>
      <c r="R285" s="270"/>
      <c r="S285" s="270"/>
      <c r="T285" s="270"/>
      <c r="U285" s="270"/>
      <c r="V285" s="270"/>
      <c r="W285" s="270"/>
      <c r="X285" s="270"/>
      <c r="Y285" s="270"/>
      <c r="Z285" s="270"/>
      <c r="AA285" s="270"/>
      <c r="AB285" s="270"/>
      <c r="AC285" s="270"/>
      <c r="AD285" s="270"/>
      <c r="AE285" s="270"/>
      <c r="AF285" s="270"/>
      <c r="AG285" s="270"/>
      <c r="AH285" s="270"/>
      <c r="AI285" s="270"/>
      <c r="AJ285" s="270"/>
      <c r="AK285" s="270"/>
      <c r="AL285" s="270"/>
      <c r="AM285" s="270"/>
      <c r="AN285" s="270"/>
      <c r="AO285" s="270"/>
      <c r="AP285" s="270"/>
      <c r="AQ285" s="270"/>
      <c r="AR285" s="270"/>
      <c r="AS285" s="270"/>
      <c r="AT285" s="270"/>
      <c r="AU285" s="270"/>
      <c r="AV285" s="270"/>
      <c r="AW285" s="270"/>
      <c r="AX285" s="270"/>
      <c r="AY285" s="270"/>
      <c r="AZ285" s="270"/>
      <c r="BA285" s="270"/>
      <c r="BB285" s="270"/>
      <c r="BC285" s="270"/>
      <c r="BD285" s="270"/>
      <c r="BE285" s="270"/>
      <c r="BF285" s="270"/>
      <c r="BG285" s="270"/>
      <c r="BH285" s="270"/>
      <c r="BI285" s="270"/>
      <c r="BJ285" s="270"/>
      <c r="BK285" s="270"/>
      <c r="BL285" s="270"/>
      <c r="BM285" s="270"/>
      <c r="BN285" s="270"/>
      <c r="BO285" s="270"/>
      <c r="BP285" s="270"/>
      <c r="BQ285" s="270"/>
      <c r="BR285" s="270"/>
      <c r="BS285" s="270"/>
    </row>
    <row r="286" spans="1:95" x14ac:dyDescent="0.3">
      <c r="A286" s="270"/>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c r="AB286" s="270"/>
      <c r="AC286" s="270"/>
      <c r="AD286" s="270"/>
      <c r="AE286" s="270"/>
      <c r="AF286" s="270"/>
      <c r="AG286" s="270"/>
      <c r="AH286" s="270"/>
      <c r="AI286" s="270"/>
      <c r="AJ286" s="270"/>
      <c r="AK286" s="270"/>
      <c r="AL286" s="270"/>
      <c r="AM286" s="270"/>
      <c r="AN286" s="270"/>
      <c r="AO286" s="270"/>
      <c r="AP286" s="270"/>
      <c r="AQ286" s="270"/>
      <c r="AR286" s="270"/>
      <c r="AS286" s="270"/>
      <c r="AT286" s="270"/>
      <c r="AU286" s="270"/>
      <c r="AV286" s="270"/>
      <c r="AW286" s="270"/>
      <c r="AX286" s="270"/>
      <c r="AY286" s="270"/>
      <c r="AZ286" s="270"/>
      <c r="BA286" s="270"/>
      <c r="BB286" s="270"/>
      <c r="BC286" s="270"/>
      <c r="BD286" s="270"/>
      <c r="BE286" s="270"/>
      <c r="BF286" s="270"/>
      <c r="BG286" s="270"/>
      <c r="BH286" s="270"/>
      <c r="BI286" s="270"/>
      <c r="BJ286" s="270"/>
      <c r="BK286" s="270"/>
      <c r="BL286" s="270"/>
      <c r="BM286" s="270"/>
      <c r="BN286" s="270"/>
      <c r="BO286" s="270"/>
      <c r="BP286" s="270"/>
      <c r="BQ286" s="270"/>
      <c r="BR286" s="270"/>
      <c r="BS286" s="270"/>
    </row>
    <row r="287" spans="1:95" x14ac:dyDescent="0.3">
      <c r="A287" s="270"/>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0"/>
      <c r="AG287" s="270"/>
      <c r="AH287" s="270"/>
      <c r="AI287" s="270"/>
      <c r="AJ287" s="270"/>
      <c r="AK287" s="270"/>
      <c r="AL287" s="270"/>
      <c r="AM287" s="270"/>
      <c r="AN287" s="270"/>
      <c r="AO287" s="270"/>
      <c r="AP287" s="270"/>
      <c r="AQ287" s="270"/>
      <c r="AR287" s="270"/>
      <c r="AS287" s="270"/>
      <c r="AT287" s="270"/>
      <c r="AU287" s="270"/>
      <c r="AV287" s="270"/>
      <c r="AW287" s="270"/>
      <c r="AX287" s="270"/>
      <c r="AY287" s="270"/>
      <c r="AZ287" s="270"/>
      <c r="BA287" s="270"/>
      <c r="BB287" s="270"/>
      <c r="BC287" s="270"/>
      <c r="BD287" s="270"/>
      <c r="BE287" s="270"/>
      <c r="BF287" s="270"/>
      <c r="BG287" s="270"/>
      <c r="BH287" s="270"/>
      <c r="BI287" s="270"/>
      <c r="BJ287" s="270"/>
      <c r="BK287" s="270"/>
      <c r="BL287" s="270"/>
      <c r="BM287" s="270"/>
      <c r="BN287" s="270"/>
      <c r="BO287" s="270"/>
      <c r="BP287" s="270"/>
      <c r="BQ287" s="270"/>
      <c r="BR287" s="270"/>
      <c r="BS287" s="270"/>
    </row>
    <row r="288" spans="1:95" x14ac:dyDescent="0.3">
      <c r="A288" s="1114"/>
      <c r="B288" s="1114"/>
      <c r="C288" s="1115"/>
      <c r="D288" s="1116"/>
      <c r="E288" s="1117"/>
      <c r="F288" s="1117"/>
      <c r="G288" s="1117"/>
      <c r="H288" s="1117"/>
      <c r="I288" s="1117"/>
      <c r="J288" s="1117"/>
      <c r="K288" s="1117"/>
      <c r="L288" s="1117"/>
      <c r="M288" s="1117"/>
      <c r="N288" s="1117"/>
      <c r="O288" s="1117"/>
      <c r="P288" s="1117"/>
      <c r="Q288" s="1117"/>
      <c r="R288" s="1117"/>
      <c r="S288" s="1117"/>
      <c r="T288" s="1117"/>
      <c r="U288" s="1117"/>
      <c r="V288" s="1117"/>
      <c r="W288" s="1117"/>
      <c r="X288" s="1117"/>
      <c r="Y288" s="1117"/>
      <c r="Z288" s="1117"/>
      <c r="AA288" s="1117"/>
      <c r="AB288" s="1117"/>
      <c r="AC288" s="1117"/>
      <c r="AD288" s="1117"/>
      <c r="AE288" s="1117"/>
      <c r="AF288" s="1117"/>
      <c r="AG288" s="1117"/>
      <c r="AH288" s="1117"/>
      <c r="AI288" s="1117"/>
      <c r="AJ288" s="1117"/>
      <c r="AK288" s="1117"/>
      <c r="AL288" s="1117"/>
      <c r="AM288" s="1117"/>
      <c r="AN288" s="1117"/>
      <c r="AO288" s="1117"/>
      <c r="AP288" s="1117"/>
      <c r="AQ288" s="1117"/>
      <c r="AR288" s="1117"/>
      <c r="AS288" s="1117"/>
      <c r="AT288" s="1117"/>
      <c r="AU288" s="1117"/>
      <c r="AV288" s="1117"/>
      <c r="AW288" s="1117"/>
      <c r="AX288" s="1117"/>
      <c r="AY288" s="1117"/>
      <c r="AZ288" s="1117"/>
      <c r="BA288" s="1117"/>
      <c r="BB288" s="1117"/>
      <c r="BC288" s="1117"/>
      <c r="BD288" s="1117"/>
      <c r="BE288" s="1117"/>
      <c r="BF288" s="1117"/>
      <c r="BG288" s="1117"/>
      <c r="BH288" s="1117"/>
      <c r="BI288" s="1117"/>
      <c r="BJ288" s="1117"/>
      <c r="BK288" s="1117"/>
      <c r="BL288" s="1117"/>
      <c r="BM288" s="1117"/>
      <c r="BN288" s="1117"/>
      <c r="BO288" s="1117"/>
      <c r="BP288" s="1117"/>
      <c r="BQ288" s="1117"/>
      <c r="BR288" s="1117"/>
      <c r="BS288" s="1117"/>
    </row>
    <row r="289" spans="1:95" x14ac:dyDescent="0.3">
      <c r="A289" s="1114">
        <v>647</v>
      </c>
      <c r="B289" s="1114">
        <v>647</v>
      </c>
      <c r="C289" s="1115" t="s">
        <v>783</v>
      </c>
      <c r="D289" s="1116"/>
      <c r="E289" s="1117">
        <v>0</v>
      </c>
      <c r="F289" s="1117">
        <v>0</v>
      </c>
      <c r="G289" s="1117">
        <v>0</v>
      </c>
      <c r="H289" s="1117">
        <v>0</v>
      </c>
      <c r="I289" s="1117">
        <v>0</v>
      </c>
      <c r="J289" s="1117">
        <v>0</v>
      </c>
      <c r="K289" s="1117">
        <v>0</v>
      </c>
      <c r="L289" s="1117">
        <v>0</v>
      </c>
      <c r="M289" s="1117">
        <v>0</v>
      </c>
      <c r="N289" s="1117">
        <v>0</v>
      </c>
      <c r="O289" s="1117">
        <v>0</v>
      </c>
      <c r="P289" s="1117">
        <v>0</v>
      </c>
      <c r="Q289" s="1117">
        <v>0</v>
      </c>
      <c r="R289" s="1117">
        <v>0</v>
      </c>
      <c r="S289" s="1117">
        <v>0</v>
      </c>
      <c r="T289" s="1117">
        <v>0</v>
      </c>
      <c r="U289" s="1117">
        <v>0</v>
      </c>
      <c r="V289" s="1117">
        <v>0</v>
      </c>
      <c r="W289" s="1117">
        <v>0</v>
      </c>
      <c r="X289" s="1117">
        <v>0</v>
      </c>
      <c r="Y289" s="1117">
        <v>0</v>
      </c>
      <c r="Z289" s="1117">
        <v>0</v>
      </c>
      <c r="AA289" s="1117">
        <v>0</v>
      </c>
      <c r="AB289" s="1117">
        <v>0</v>
      </c>
      <c r="AC289" s="1117">
        <v>0</v>
      </c>
      <c r="AD289" s="1117">
        <v>0</v>
      </c>
      <c r="AE289" s="1117">
        <v>0</v>
      </c>
      <c r="AF289" s="1117">
        <v>0</v>
      </c>
      <c r="AG289" s="1117">
        <v>0</v>
      </c>
      <c r="AH289" s="1117">
        <v>0</v>
      </c>
      <c r="AI289" s="1117">
        <v>0</v>
      </c>
      <c r="AJ289" s="1117">
        <v>0</v>
      </c>
      <c r="AK289" s="1117">
        <v>0</v>
      </c>
      <c r="AL289" s="1117">
        <v>0</v>
      </c>
      <c r="AM289" s="1117">
        <v>0</v>
      </c>
      <c r="AN289" s="1117">
        <v>0</v>
      </c>
      <c r="AO289" s="1117">
        <v>0</v>
      </c>
      <c r="AP289" s="1117">
        <v>0</v>
      </c>
      <c r="AQ289" s="1117">
        <v>0</v>
      </c>
      <c r="AR289" s="1117">
        <v>0</v>
      </c>
      <c r="AS289" s="1117">
        <v>0</v>
      </c>
      <c r="AT289" s="1117">
        <v>0</v>
      </c>
      <c r="AU289" s="1117">
        <v>0</v>
      </c>
      <c r="AV289" s="1117">
        <v>0</v>
      </c>
      <c r="AW289" s="1117">
        <v>0</v>
      </c>
      <c r="AX289" s="1117">
        <v>0</v>
      </c>
      <c r="AY289" s="1117">
        <v>302046</v>
      </c>
      <c r="AZ289" s="1117">
        <v>0</v>
      </c>
      <c r="BA289" s="1117">
        <v>0</v>
      </c>
      <c r="BB289" s="1117">
        <v>0</v>
      </c>
      <c r="BC289" s="1117">
        <v>0</v>
      </c>
      <c r="BD289" s="1117">
        <v>0</v>
      </c>
      <c r="BE289" s="1117">
        <v>0</v>
      </c>
      <c r="BF289" s="1117">
        <v>0</v>
      </c>
      <c r="BG289" s="1117">
        <v>0</v>
      </c>
      <c r="BH289" s="1117">
        <v>0</v>
      </c>
      <c r="BI289" s="1117">
        <v>0</v>
      </c>
      <c r="BJ289" s="1117">
        <v>0</v>
      </c>
      <c r="BK289" s="1117">
        <v>0</v>
      </c>
      <c r="BL289" s="1117">
        <v>0</v>
      </c>
      <c r="BM289" s="1117">
        <v>0</v>
      </c>
      <c r="BN289" s="1117">
        <v>0</v>
      </c>
      <c r="BO289" s="1117">
        <v>0</v>
      </c>
      <c r="BP289" s="1117">
        <v>0</v>
      </c>
      <c r="BQ289" s="1117">
        <v>0</v>
      </c>
      <c r="BR289" s="1117">
        <v>0</v>
      </c>
      <c r="BS289" s="1117">
        <v>0</v>
      </c>
      <c r="BT289" s="298">
        <v>0</v>
      </c>
      <c r="BU289" s="298">
        <v>0</v>
      </c>
      <c r="BV289" s="298">
        <v>0</v>
      </c>
      <c r="BW289" s="298">
        <v>0</v>
      </c>
      <c r="BX289" s="298">
        <v>0</v>
      </c>
      <c r="BY289" s="298">
        <v>0</v>
      </c>
      <c r="BZ289" s="298">
        <v>0</v>
      </c>
      <c r="CA289" s="298">
        <v>0</v>
      </c>
      <c r="CB289" s="298">
        <v>20836222</v>
      </c>
      <c r="CC289" s="298">
        <v>0</v>
      </c>
      <c r="CD289" s="298">
        <v>0</v>
      </c>
      <c r="CE289" s="298">
        <v>0</v>
      </c>
      <c r="CF289" s="298">
        <v>0</v>
      </c>
      <c r="CG289" s="298">
        <v>0</v>
      </c>
      <c r="CH289" s="298">
        <v>25542629</v>
      </c>
      <c r="CI289" s="298">
        <v>0</v>
      </c>
      <c r="CJ289" s="298">
        <v>0</v>
      </c>
      <c r="CK289" s="298">
        <v>0</v>
      </c>
      <c r="CL289" s="298">
        <v>0</v>
      </c>
      <c r="CM289" s="298">
        <v>0</v>
      </c>
      <c r="CN289" s="298">
        <v>0</v>
      </c>
      <c r="CO289" s="298">
        <v>0</v>
      </c>
      <c r="CP289" s="298">
        <v>0</v>
      </c>
      <c r="CQ289" s="298">
        <v>0</v>
      </c>
    </row>
    <row r="290" spans="1:95" x14ac:dyDescent="0.3">
      <c r="A290" s="1118" t="s">
        <v>784</v>
      </c>
      <c r="B290" s="1119"/>
      <c r="C290" s="1119" t="s">
        <v>787</v>
      </c>
      <c r="D290" s="1119"/>
      <c r="E290" s="130">
        <v>700795</v>
      </c>
      <c r="F290" s="130">
        <v>8930428</v>
      </c>
      <c r="G290" s="130">
        <v>950074</v>
      </c>
      <c r="H290" s="130">
        <v>962530</v>
      </c>
      <c r="I290" s="130">
        <v>524800</v>
      </c>
      <c r="J290" s="130">
        <v>722222</v>
      </c>
      <c r="K290" s="130">
        <v>16110002</v>
      </c>
      <c r="L290" s="130">
        <v>531640</v>
      </c>
      <c r="M290" s="130">
        <v>417603</v>
      </c>
      <c r="N290" s="130">
        <v>3013395</v>
      </c>
      <c r="O290" s="130">
        <v>730214</v>
      </c>
      <c r="P290" s="130">
        <v>315505</v>
      </c>
      <c r="Q290" s="130">
        <v>283320</v>
      </c>
      <c r="R290" s="130">
        <v>1097049</v>
      </c>
      <c r="S290" s="130">
        <v>6843013</v>
      </c>
      <c r="T290" s="130">
        <v>7257391</v>
      </c>
      <c r="U290" s="130">
        <v>5864121</v>
      </c>
      <c r="V290" s="130">
        <v>2311573</v>
      </c>
      <c r="W290" s="130">
        <v>3569972</v>
      </c>
      <c r="X290" s="130">
        <v>5032854</v>
      </c>
      <c r="Y290" s="130">
        <v>2216994</v>
      </c>
      <c r="Z290" s="130">
        <v>91469</v>
      </c>
      <c r="AA290" s="130">
        <v>3437096</v>
      </c>
      <c r="AB290" s="130">
        <v>797986</v>
      </c>
      <c r="AC290" s="130">
        <v>648029</v>
      </c>
      <c r="AD290" s="130">
        <v>614411</v>
      </c>
      <c r="AE290" s="130">
        <v>9177058</v>
      </c>
      <c r="AF290" s="130">
        <v>2197808</v>
      </c>
      <c r="AG290" s="130">
        <v>2611367</v>
      </c>
      <c r="AH290" s="130">
        <v>1758240</v>
      </c>
      <c r="AI290" s="130">
        <v>620432</v>
      </c>
      <c r="AJ290" s="130">
        <v>6507290</v>
      </c>
      <c r="AK290" s="130">
        <v>1912440</v>
      </c>
      <c r="AL290" s="130">
        <v>1214025</v>
      </c>
      <c r="AM290" s="130">
        <v>0</v>
      </c>
      <c r="AN290" s="130">
        <v>124297</v>
      </c>
      <c r="AO290" s="130">
        <v>2885984</v>
      </c>
      <c r="AP290" s="130">
        <v>3370858</v>
      </c>
      <c r="AQ290" s="130">
        <v>395991</v>
      </c>
      <c r="AR290" s="130">
        <v>353434</v>
      </c>
      <c r="AS290" s="130">
        <v>1493238</v>
      </c>
      <c r="AT290" s="130">
        <v>492907</v>
      </c>
      <c r="AU290" s="130">
        <v>204787</v>
      </c>
      <c r="AV290" s="130">
        <v>241391</v>
      </c>
      <c r="AW290" s="130">
        <v>3110107</v>
      </c>
      <c r="AX290" s="130">
        <v>935292</v>
      </c>
      <c r="AY290" s="130" t="e">
        <v>#REF!</v>
      </c>
      <c r="AZ290" s="130">
        <v>4670357</v>
      </c>
      <c r="BA290" s="130">
        <v>1894106</v>
      </c>
      <c r="BB290" s="130">
        <v>2958789</v>
      </c>
      <c r="BC290" s="130">
        <v>1138298</v>
      </c>
      <c r="BD290" s="130">
        <v>861183</v>
      </c>
      <c r="BE290" s="130">
        <v>227777</v>
      </c>
      <c r="BF290" s="130">
        <v>891445</v>
      </c>
      <c r="BG290" s="130">
        <v>1556607</v>
      </c>
      <c r="BH290" s="130">
        <v>8707967</v>
      </c>
      <c r="BI290" s="130">
        <v>489117</v>
      </c>
      <c r="BJ290" s="130">
        <v>254893</v>
      </c>
      <c r="BK290" s="130">
        <v>6228838</v>
      </c>
      <c r="BL290" s="130">
        <v>6538058</v>
      </c>
      <c r="BM290" s="130">
        <v>7182262</v>
      </c>
      <c r="BN290" s="130">
        <v>137276</v>
      </c>
      <c r="BO290" s="130">
        <v>3046238</v>
      </c>
      <c r="BP290" s="130">
        <v>1760718</v>
      </c>
      <c r="BQ290" s="130">
        <v>7118592</v>
      </c>
      <c r="BR290" s="130">
        <v>1691112</v>
      </c>
      <c r="BS290" s="130">
        <v>1051156</v>
      </c>
      <c r="BT290" s="298">
        <v>1961611</v>
      </c>
      <c r="BU290" s="298">
        <v>2426930</v>
      </c>
      <c r="BV290" s="298">
        <v>512924</v>
      </c>
      <c r="BW290" s="298">
        <v>524805</v>
      </c>
      <c r="BX290" s="298">
        <v>2286223</v>
      </c>
      <c r="BY290" s="298">
        <v>604761</v>
      </c>
      <c r="BZ290" s="298">
        <v>0</v>
      </c>
      <c r="CA290" s="298">
        <v>3893319</v>
      </c>
      <c r="CB290" s="298">
        <v>57419154</v>
      </c>
      <c r="CC290" s="298">
        <v>18238486</v>
      </c>
      <c r="CD290" s="298">
        <v>1153292</v>
      </c>
      <c r="CE290" s="298">
        <v>1059018</v>
      </c>
      <c r="CF290" s="298">
        <v>235973</v>
      </c>
      <c r="CG290" s="298">
        <v>991080</v>
      </c>
      <c r="CH290" s="298">
        <v>55495628</v>
      </c>
      <c r="CI290" s="298">
        <v>6149180</v>
      </c>
      <c r="CJ290" s="298">
        <v>967963</v>
      </c>
      <c r="CK290" s="298">
        <v>2629932</v>
      </c>
      <c r="CL290" s="298">
        <v>961004</v>
      </c>
      <c r="CM290" s="298">
        <v>12082348</v>
      </c>
      <c r="CN290" s="298">
        <v>2110281</v>
      </c>
      <c r="CO290" s="298">
        <v>1763213</v>
      </c>
      <c r="CP290" s="298">
        <v>1525447</v>
      </c>
      <c r="CQ290" s="298">
        <v>9437169</v>
      </c>
    </row>
    <row r="291" spans="1:95" x14ac:dyDescent="0.3">
      <c r="A291" s="1118" t="s">
        <v>785</v>
      </c>
      <c r="B291" s="1119"/>
      <c r="C291" s="1119" t="s">
        <v>793</v>
      </c>
      <c r="D291" s="1119"/>
      <c r="E291" s="130">
        <v>104378</v>
      </c>
      <c r="F291" s="130">
        <v>6669003</v>
      </c>
      <c r="G291" s="130">
        <v>976676</v>
      </c>
      <c r="H291" s="130">
        <v>3068484</v>
      </c>
      <c r="I291" s="130">
        <v>858978</v>
      </c>
      <c r="J291" s="130">
        <v>685148</v>
      </c>
      <c r="K291" s="130">
        <v>35066694</v>
      </c>
      <c r="L291" s="130">
        <v>689443</v>
      </c>
      <c r="M291" s="130">
        <v>600910</v>
      </c>
      <c r="N291" s="130">
        <v>424495</v>
      </c>
      <c r="O291" s="130">
        <v>1330977</v>
      </c>
      <c r="P291" s="130">
        <v>100929</v>
      </c>
      <c r="Q291" s="130">
        <v>369483</v>
      </c>
      <c r="R291" s="130">
        <v>1911208</v>
      </c>
      <c r="S291" s="130">
        <v>1382358</v>
      </c>
      <c r="T291" s="130">
        <v>8106836</v>
      </c>
      <c r="U291" s="130">
        <v>10126734</v>
      </c>
      <c r="V291" s="130">
        <v>5123881</v>
      </c>
      <c r="W291" s="130">
        <v>197349</v>
      </c>
      <c r="X291" s="130">
        <v>3372410</v>
      </c>
      <c r="Y291" s="130">
        <v>2622608</v>
      </c>
      <c r="Z291" s="130">
        <v>81755</v>
      </c>
      <c r="AA291" s="130">
        <v>11264676</v>
      </c>
      <c r="AB291" s="130">
        <v>1877748</v>
      </c>
      <c r="AC291" s="130">
        <v>719872</v>
      </c>
      <c r="AD291" s="130">
        <v>237539</v>
      </c>
      <c r="AE291" s="130">
        <v>21591355</v>
      </c>
      <c r="AF291" s="130">
        <v>767245</v>
      </c>
      <c r="AG291" s="130">
        <v>2912691</v>
      </c>
      <c r="AH291" s="130">
        <v>3025500</v>
      </c>
      <c r="AI291" s="130">
        <v>98905</v>
      </c>
      <c r="AJ291" s="130">
        <v>3079918</v>
      </c>
      <c r="AK291" s="130">
        <v>3607728</v>
      </c>
      <c r="AL291" s="130">
        <v>3006202</v>
      </c>
      <c r="AM291" s="130">
        <v>0</v>
      </c>
      <c r="AN291" s="130">
        <v>167295</v>
      </c>
      <c r="AO291" s="130">
        <v>396141</v>
      </c>
      <c r="AP291" s="130">
        <v>5154278</v>
      </c>
      <c r="AQ291" s="130">
        <v>827269</v>
      </c>
      <c r="AR291" s="130">
        <v>91361</v>
      </c>
      <c r="AS291" s="130">
        <v>262104</v>
      </c>
      <c r="AT291" s="130">
        <v>831373</v>
      </c>
      <c r="AU291" s="130">
        <v>90375</v>
      </c>
      <c r="AV291" s="130">
        <v>537287</v>
      </c>
      <c r="AW291" s="130">
        <v>4445135</v>
      </c>
      <c r="AX291" s="130">
        <v>343358</v>
      </c>
      <c r="AY291" s="130">
        <v>43392801</v>
      </c>
      <c r="AZ291" s="130">
        <v>2082139</v>
      </c>
      <c r="BA291" s="130">
        <v>4180997</v>
      </c>
      <c r="BB291" s="130">
        <v>643609</v>
      </c>
      <c r="BC291" s="130">
        <v>843123</v>
      </c>
      <c r="BD291" s="130">
        <v>1383173</v>
      </c>
      <c r="BE291" s="130">
        <v>227636</v>
      </c>
      <c r="BF291" s="130">
        <v>973509</v>
      </c>
      <c r="BG291" s="130">
        <v>2730373</v>
      </c>
      <c r="BH291" s="130">
        <v>12989779</v>
      </c>
      <c r="BI291" s="130">
        <v>270695</v>
      </c>
      <c r="BJ291" s="130">
        <v>57834</v>
      </c>
      <c r="BK291" s="130">
        <v>10144176</v>
      </c>
      <c r="BL291" s="130">
        <v>13957835</v>
      </c>
      <c r="BM291" s="130">
        <v>6698102</v>
      </c>
      <c r="BN291" s="130">
        <v>79994</v>
      </c>
      <c r="BO291" s="130">
        <v>1687992</v>
      </c>
      <c r="BP291" s="130">
        <v>1573831</v>
      </c>
      <c r="BQ291" s="130">
        <v>6419048</v>
      </c>
      <c r="BR291" s="130">
        <v>525954</v>
      </c>
      <c r="BS291" s="130">
        <v>719156</v>
      </c>
      <c r="BT291" s="298">
        <v>2391951</v>
      </c>
      <c r="BU291" s="298">
        <v>3338565</v>
      </c>
      <c r="BV291" s="298">
        <v>534565</v>
      </c>
      <c r="BW291" s="298">
        <v>1830065</v>
      </c>
      <c r="BX291" s="298">
        <v>5309900</v>
      </c>
      <c r="BY291" s="298">
        <v>154097</v>
      </c>
      <c r="BZ291" s="298">
        <v>0</v>
      </c>
      <c r="CA291" s="298">
        <v>5944412</v>
      </c>
      <c r="CB291" s="298">
        <v>142842708</v>
      </c>
      <c r="CC291" s="298">
        <v>55737237</v>
      </c>
      <c r="CD291" s="298">
        <v>1173940</v>
      </c>
      <c r="CE291" s="298">
        <v>3009579</v>
      </c>
      <c r="CF291" s="298">
        <v>505685</v>
      </c>
      <c r="CG291" s="298">
        <v>1568614</v>
      </c>
      <c r="CH291" s="298">
        <v>204661871</v>
      </c>
      <c r="CI291" s="298">
        <v>8416033</v>
      </c>
      <c r="CJ291" s="298">
        <v>579089</v>
      </c>
      <c r="CK291" s="298">
        <v>4002628</v>
      </c>
      <c r="CL291" s="298">
        <v>356610</v>
      </c>
      <c r="CM291" s="298">
        <v>12228970</v>
      </c>
      <c r="CN291" s="298">
        <v>2769100</v>
      </c>
      <c r="CO291" s="298">
        <v>834511</v>
      </c>
      <c r="CP291" s="298">
        <v>2145865</v>
      </c>
      <c r="CQ291" s="298">
        <v>10355551</v>
      </c>
    </row>
    <row r="292" spans="1:95" x14ac:dyDescent="0.3">
      <c r="A292" s="1118" t="s">
        <v>786</v>
      </c>
      <c r="B292" s="1119"/>
      <c r="C292" s="1120" t="s">
        <v>792</v>
      </c>
      <c r="D292" s="1119"/>
      <c r="E292" s="1121">
        <v>6.7140106152637529</v>
      </c>
      <c r="F292" s="1121">
        <v>1.339094914187323</v>
      </c>
      <c r="G292" s="1121">
        <v>0.9727627176259066</v>
      </c>
      <c r="H292" s="1121">
        <v>0.31368258723200121</v>
      </c>
      <c r="I292" s="1121">
        <v>0.61095860429487137</v>
      </c>
      <c r="J292" s="1121">
        <v>1.0541109366151546</v>
      </c>
      <c r="K292" s="1121">
        <v>0.45941034532653691</v>
      </c>
      <c r="L292" s="1121">
        <v>0.77111523360161749</v>
      </c>
      <c r="M292" s="1121">
        <v>0.69495099099698787</v>
      </c>
      <c r="N292" s="1121">
        <v>7.0987761928880202</v>
      </c>
      <c r="O292" s="1121">
        <v>0.54863006648499557</v>
      </c>
      <c r="P292" s="1121">
        <v>3.1260093729255218</v>
      </c>
      <c r="Q292" s="1121">
        <v>0.7668011789446334</v>
      </c>
      <c r="R292" s="1121">
        <v>0.57400816656271847</v>
      </c>
      <c r="S292" s="1121">
        <v>4.9502466076081593</v>
      </c>
      <c r="T292" s="1121">
        <v>0.89521867717565773</v>
      </c>
      <c r="U292" s="1121">
        <v>0.57907327278469045</v>
      </c>
      <c r="V292" s="1121">
        <v>0.45113713608883577</v>
      </c>
      <c r="W292" s="1121">
        <v>18.089638153727659</v>
      </c>
      <c r="X292" s="1121">
        <v>1.4923612490770695</v>
      </c>
      <c r="Y292" s="1121">
        <v>0.84533944836590147</v>
      </c>
      <c r="Z292" s="1121">
        <v>1.1188184208916885</v>
      </c>
      <c r="AA292" s="1121">
        <v>0.30512160314242504</v>
      </c>
      <c r="AB292" s="1121">
        <v>0.42496969774431925</v>
      </c>
      <c r="AC292" s="1121">
        <v>0.90020031338904694</v>
      </c>
      <c r="AD292" s="1121">
        <v>2.5865689423631486</v>
      </c>
      <c r="AE292" s="1121">
        <v>0.42503390824707388</v>
      </c>
      <c r="AF292" s="1121">
        <v>2.8645452234944511</v>
      </c>
      <c r="AG292" s="1121">
        <v>0.89654790020637276</v>
      </c>
      <c r="AH292" s="1121">
        <v>0.58114030738720868</v>
      </c>
      <c r="AI292" s="1121">
        <v>6.2730094535159999</v>
      </c>
      <c r="AJ292" s="1121">
        <v>2.1128127437159043</v>
      </c>
      <c r="AK292" s="1121">
        <v>0.53009539521826476</v>
      </c>
      <c r="AL292" s="1121">
        <v>0.40384012784237389</v>
      </c>
      <c r="AM292" s="1121" t="e">
        <v>#DIV/0!</v>
      </c>
      <c r="AN292" s="1121">
        <v>0.74298096177411155</v>
      </c>
      <c r="AO292" s="1121">
        <v>7.2852443953036925</v>
      </c>
      <c r="AP292" s="1121">
        <v>0.6539922759307899</v>
      </c>
      <c r="AQ292" s="1121">
        <v>0.47867259621719177</v>
      </c>
      <c r="AR292" s="1121">
        <v>3.868543470408599</v>
      </c>
      <c r="AS292" s="1121">
        <v>5.6971202270854313</v>
      </c>
      <c r="AT292" s="1121">
        <v>0.59288309820020613</v>
      </c>
      <c r="AU292" s="1121">
        <v>2.2659695712309822</v>
      </c>
      <c r="AV292" s="1121">
        <v>0.4492775741828855</v>
      </c>
      <c r="AW292" s="1121">
        <v>0.69966536449399175</v>
      </c>
      <c r="AX292" s="1121">
        <v>2.7239557546351039</v>
      </c>
      <c r="AY292" s="1121" t="e">
        <v>#REF!</v>
      </c>
      <c r="AZ292" s="1121">
        <v>2.2430572598659357</v>
      </c>
      <c r="BA292" s="1121">
        <v>0.45302735208850903</v>
      </c>
      <c r="BB292" s="1121">
        <v>4.5971840045742054</v>
      </c>
      <c r="BC292" s="1121">
        <v>1.3500971981549548</v>
      </c>
      <c r="BD292" s="1121">
        <v>0.62261409093439501</v>
      </c>
      <c r="BE292" s="1121">
        <v>1.0006194099351597</v>
      </c>
      <c r="BF292" s="1121">
        <v>0.91570288512997822</v>
      </c>
      <c r="BG292" s="1121">
        <v>0.57010782043332542</v>
      </c>
      <c r="BH292" s="1121">
        <v>0.67037068144115464</v>
      </c>
      <c r="BI292" s="1121">
        <v>1.8068933670736438</v>
      </c>
      <c r="BJ292" s="1121">
        <v>4.4073209530725874</v>
      </c>
      <c r="BK292" s="1121">
        <v>0.61403094741258435</v>
      </c>
      <c r="BL292" s="1121">
        <v>0.46841490818597581</v>
      </c>
      <c r="BM292" s="1121">
        <v>1.0722831632005605</v>
      </c>
      <c r="BN292" s="1121">
        <v>1.7160787059029428</v>
      </c>
      <c r="BO292" s="1121">
        <v>1.8046519177816009</v>
      </c>
      <c r="BP292" s="1121">
        <v>1.1187465490259119</v>
      </c>
      <c r="BQ292" s="1121">
        <v>1.1089794000605697</v>
      </c>
      <c r="BR292" s="1121">
        <v>3.2153230130391632</v>
      </c>
      <c r="BS292" s="1121">
        <v>1.4616522701611334</v>
      </c>
      <c r="BT292" s="298">
        <v>0.82008828776174758</v>
      </c>
      <c r="BU292" s="298">
        <v>0.7269380706980394</v>
      </c>
      <c r="BV292" s="298">
        <v>0.95951661631419938</v>
      </c>
      <c r="BW292" s="298">
        <v>0.28676850275809873</v>
      </c>
      <c r="BX292" s="298">
        <v>0.43055857925761315</v>
      </c>
      <c r="BY292" s="298">
        <v>3.9245475252600635</v>
      </c>
      <c r="BZ292" s="298" t="e">
        <v>#DIV/0!</v>
      </c>
      <c r="CA292" s="298">
        <v>0.65495443451766133</v>
      </c>
      <c r="CB292" s="298">
        <v>0.40197469513109485</v>
      </c>
      <c r="CC292" s="298">
        <v>0.32722264291644021</v>
      </c>
      <c r="CD292" s="298">
        <v>0.98241136685009456</v>
      </c>
      <c r="CE292" s="298">
        <v>0.3518824393710881</v>
      </c>
      <c r="CF292" s="298">
        <v>0.46664029979137212</v>
      </c>
      <c r="CG292" s="298">
        <v>0.63181891784722055</v>
      </c>
      <c r="CH292" s="298">
        <v>0.27115763052903979</v>
      </c>
      <c r="CI292" s="298">
        <v>0.73065065215404934</v>
      </c>
      <c r="CJ292" s="298">
        <v>1.6715271745793825</v>
      </c>
      <c r="CK292" s="298">
        <v>0.65705131728454402</v>
      </c>
      <c r="CL292" s="298">
        <v>2.6948318891786545</v>
      </c>
      <c r="CM292" s="298">
        <v>0.98801027396420138</v>
      </c>
      <c r="CN292" s="298">
        <v>0.7620819038676826</v>
      </c>
      <c r="CO292" s="298">
        <v>2.1128696925504875</v>
      </c>
      <c r="CP292" s="298">
        <v>0.71087743171168738</v>
      </c>
      <c r="CQ292" s="298">
        <v>0.91131500390466913</v>
      </c>
    </row>
    <row r="293" spans="1:95" x14ac:dyDescent="0.3">
      <c r="A293" s="1118" t="s">
        <v>788</v>
      </c>
      <c r="B293" s="1119"/>
      <c r="C293" s="1122"/>
      <c r="D293" s="1119"/>
      <c r="E293" s="1123">
        <v>0</v>
      </c>
      <c r="F293" s="1123">
        <v>0</v>
      </c>
      <c r="G293" s="1123">
        <v>0</v>
      </c>
      <c r="H293" s="1123">
        <v>507088</v>
      </c>
      <c r="I293" s="1123">
        <v>156982</v>
      </c>
      <c r="J293" s="1123">
        <v>0</v>
      </c>
      <c r="K293" s="1123">
        <v>2680240</v>
      </c>
      <c r="L293" s="1123">
        <v>62797</v>
      </c>
      <c r="M293" s="1123">
        <v>0</v>
      </c>
      <c r="N293" s="1123">
        <v>0</v>
      </c>
      <c r="O293" s="1123">
        <v>98713</v>
      </c>
      <c r="P293" s="1123">
        <v>0</v>
      </c>
      <c r="Q293" s="1123">
        <v>27745</v>
      </c>
      <c r="R293" s="1123">
        <v>0</v>
      </c>
      <c r="S293" s="1123">
        <v>0</v>
      </c>
      <c r="T293" s="1123">
        <v>0</v>
      </c>
      <c r="U293" s="1123">
        <v>2167945</v>
      </c>
      <c r="V293" s="1123">
        <v>0</v>
      </c>
      <c r="W293" s="1123">
        <v>0</v>
      </c>
      <c r="X293" s="1123">
        <v>0</v>
      </c>
      <c r="Y293" s="1123">
        <v>175480</v>
      </c>
      <c r="Z293" s="1123">
        <v>0</v>
      </c>
      <c r="AA293" s="1123">
        <v>58483</v>
      </c>
      <c r="AB293" s="1123">
        <v>293926</v>
      </c>
      <c r="AC293" s="1123">
        <v>0</v>
      </c>
      <c r="AD293" s="1123">
        <v>30878</v>
      </c>
      <c r="AE293" s="1123">
        <v>4091344</v>
      </c>
      <c r="AF293" s="1123">
        <v>0</v>
      </c>
      <c r="AG293" s="1123">
        <v>296975</v>
      </c>
      <c r="AH293" s="1123">
        <v>0</v>
      </c>
      <c r="AI293" s="1123">
        <v>0</v>
      </c>
      <c r="AJ293" s="1123">
        <v>736919</v>
      </c>
      <c r="AK293" s="1123">
        <v>270971</v>
      </c>
      <c r="AL293" s="1123">
        <v>118846</v>
      </c>
      <c r="AM293" s="1123">
        <v>0</v>
      </c>
      <c r="AN293" s="1123">
        <v>2724</v>
      </c>
      <c r="AO293" s="1123">
        <v>0</v>
      </c>
      <c r="AP293" s="1123">
        <v>299344</v>
      </c>
      <c r="AQ293" s="1123">
        <v>87719</v>
      </c>
      <c r="AR293" s="1123">
        <v>0</v>
      </c>
      <c r="AS293" s="1123">
        <v>0</v>
      </c>
      <c r="AT293" s="1123">
        <v>0</v>
      </c>
      <c r="AU293" s="1123">
        <v>0</v>
      </c>
      <c r="AV293" s="1123">
        <v>14515</v>
      </c>
      <c r="AW293" s="1123">
        <v>108133</v>
      </c>
      <c r="AX293" s="1123">
        <v>0</v>
      </c>
      <c r="AY293" s="1123">
        <v>0</v>
      </c>
      <c r="AZ293" s="1123">
        <v>4317</v>
      </c>
      <c r="BA293" s="1123">
        <v>539811</v>
      </c>
      <c r="BB293" s="1123">
        <v>0</v>
      </c>
      <c r="BC293" s="1123">
        <v>118279</v>
      </c>
      <c r="BD293" s="1123">
        <v>91189</v>
      </c>
      <c r="BE293" s="1123">
        <v>0</v>
      </c>
      <c r="BF293" s="1123">
        <v>36350</v>
      </c>
      <c r="BG293" s="1123">
        <v>168127</v>
      </c>
      <c r="BH293" s="1123">
        <v>224240</v>
      </c>
      <c r="BI293" s="1123">
        <v>0</v>
      </c>
      <c r="BJ293" s="1123">
        <v>0</v>
      </c>
      <c r="BK293" s="1123">
        <v>0</v>
      </c>
      <c r="BL293" s="1123">
        <v>203937</v>
      </c>
      <c r="BM293" s="1123">
        <v>204004</v>
      </c>
      <c r="BN293" s="1123">
        <v>0</v>
      </c>
      <c r="BO293" s="1123">
        <v>0</v>
      </c>
      <c r="BP293" s="1123">
        <v>0</v>
      </c>
      <c r="BQ293" s="1123">
        <v>0</v>
      </c>
      <c r="BR293" s="1123">
        <v>0</v>
      </c>
      <c r="BS293" s="1123">
        <v>0</v>
      </c>
      <c r="BT293" s="298">
        <v>136814</v>
      </c>
      <c r="BU293" s="298">
        <v>0</v>
      </c>
      <c r="BV293" s="298">
        <v>30620</v>
      </c>
      <c r="BW293" s="298">
        <v>58779</v>
      </c>
      <c r="BX293" s="298">
        <v>394947</v>
      </c>
      <c r="BY293" s="298">
        <v>0</v>
      </c>
      <c r="BZ293" s="298">
        <v>0</v>
      </c>
      <c r="CA293" s="298">
        <v>803428</v>
      </c>
      <c r="CB293" s="298">
        <v>0</v>
      </c>
      <c r="CC293" s="298">
        <v>4015868</v>
      </c>
      <c r="CD293" s="298">
        <v>132197</v>
      </c>
      <c r="CE293" s="298">
        <v>40862</v>
      </c>
      <c r="CF293" s="298">
        <v>60794</v>
      </c>
      <c r="CG293" s="298">
        <v>267275</v>
      </c>
      <c r="CH293" s="298">
        <v>50944004</v>
      </c>
      <c r="CI293" s="298">
        <v>399452</v>
      </c>
      <c r="CJ293" s="298">
        <v>14006</v>
      </c>
      <c r="CK293" s="298">
        <v>0</v>
      </c>
      <c r="CL293" s="298">
        <v>0</v>
      </c>
      <c r="CM293" s="298">
        <v>0</v>
      </c>
      <c r="CN293" s="298">
        <v>0</v>
      </c>
      <c r="CO293" s="298">
        <v>320623</v>
      </c>
      <c r="CP293" s="298">
        <v>0</v>
      </c>
      <c r="CQ293" s="298">
        <v>0</v>
      </c>
    </row>
    <row r="294" spans="1:95" x14ac:dyDescent="0.3">
      <c r="A294" s="1118" t="s">
        <v>843</v>
      </c>
      <c r="B294" s="1119"/>
      <c r="C294" s="1119"/>
      <c r="D294" s="1119"/>
      <c r="E294" s="1123">
        <v>0</v>
      </c>
      <c r="F294" s="1123">
        <v>0</v>
      </c>
      <c r="G294" s="1123">
        <v>0</v>
      </c>
      <c r="H294" s="1123">
        <v>0</v>
      </c>
      <c r="I294" s="1123">
        <v>0</v>
      </c>
      <c r="J294" s="1123">
        <v>0</v>
      </c>
      <c r="K294" s="1123">
        <v>0</v>
      </c>
      <c r="L294" s="1123">
        <v>0</v>
      </c>
      <c r="M294" s="1123">
        <v>0</v>
      </c>
      <c r="N294" s="1123">
        <v>0</v>
      </c>
      <c r="O294" s="1123">
        <v>0</v>
      </c>
      <c r="P294" s="1123">
        <v>0</v>
      </c>
      <c r="Q294" s="1123">
        <v>0</v>
      </c>
      <c r="R294" s="1123">
        <v>0</v>
      </c>
      <c r="S294" s="1123">
        <v>0</v>
      </c>
      <c r="T294" s="1123">
        <v>0</v>
      </c>
      <c r="U294" s="1123">
        <v>0</v>
      </c>
      <c r="V294" s="1123">
        <v>0</v>
      </c>
      <c r="W294" s="1123">
        <v>0</v>
      </c>
      <c r="X294" s="1123">
        <v>0</v>
      </c>
      <c r="Y294" s="1123">
        <v>0</v>
      </c>
      <c r="Z294" s="1123">
        <v>0</v>
      </c>
      <c r="AA294" s="1123">
        <v>19102</v>
      </c>
      <c r="AB294" s="1123">
        <v>0</v>
      </c>
      <c r="AC294" s="1123">
        <v>0</v>
      </c>
      <c r="AD294" s="1123">
        <v>0</v>
      </c>
      <c r="AE294" s="1123">
        <v>0</v>
      </c>
      <c r="AF294" s="1123">
        <v>0</v>
      </c>
      <c r="AG294" s="1123">
        <v>0</v>
      </c>
      <c r="AH294" s="1123">
        <v>0</v>
      </c>
      <c r="AI294" s="1123">
        <v>0</v>
      </c>
      <c r="AJ294" s="1123">
        <v>0</v>
      </c>
      <c r="AK294" s="1123">
        <v>0</v>
      </c>
      <c r="AL294" s="1123">
        <v>0</v>
      </c>
      <c r="AM294" s="1123">
        <v>0</v>
      </c>
      <c r="AN294" s="1123">
        <v>0</v>
      </c>
      <c r="AO294" s="1123">
        <v>0</v>
      </c>
      <c r="AP294" s="1123">
        <v>0</v>
      </c>
      <c r="AQ294" s="1123">
        <v>0</v>
      </c>
      <c r="AR294" s="1123">
        <v>0</v>
      </c>
      <c r="AS294" s="1123">
        <v>0</v>
      </c>
      <c r="AT294" s="1123">
        <v>0</v>
      </c>
      <c r="AU294" s="1123">
        <v>0</v>
      </c>
      <c r="AV294" s="1123">
        <v>0</v>
      </c>
      <c r="AW294" s="1123">
        <v>0</v>
      </c>
      <c r="AX294" s="1123">
        <v>0</v>
      </c>
      <c r="AY294" s="1123">
        <v>1043492</v>
      </c>
      <c r="AZ294" s="1123">
        <v>0</v>
      </c>
      <c r="BA294" s="1123">
        <v>0</v>
      </c>
      <c r="BB294" s="1123">
        <v>0</v>
      </c>
      <c r="BC294" s="1123">
        <v>0</v>
      </c>
      <c r="BD294" s="1123">
        <v>0</v>
      </c>
      <c r="BE294" s="1123">
        <v>0</v>
      </c>
      <c r="BF294" s="1123">
        <v>0</v>
      </c>
      <c r="BG294" s="1123">
        <v>0</v>
      </c>
      <c r="BH294" s="1123">
        <v>0</v>
      </c>
      <c r="BI294" s="1123">
        <v>0</v>
      </c>
      <c r="BJ294" s="1123">
        <v>0</v>
      </c>
      <c r="BK294" s="1123">
        <v>0</v>
      </c>
      <c r="BL294" s="1123">
        <v>344032</v>
      </c>
      <c r="BM294" s="1123">
        <v>0</v>
      </c>
      <c r="BN294" s="1123">
        <v>0</v>
      </c>
      <c r="BO294" s="1123">
        <v>0</v>
      </c>
      <c r="BP294" s="1123">
        <v>0</v>
      </c>
      <c r="BQ294" s="1123">
        <v>0</v>
      </c>
      <c r="BR294" s="1123">
        <v>0</v>
      </c>
      <c r="BS294" s="1123">
        <v>0</v>
      </c>
      <c r="BT294" s="298">
        <v>0</v>
      </c>
      <c r="BU294" s="298">
        <v>0</v>
      </c>
      <c r="BV294" s="298">
        <v>0</v>
      </c>
      <c r="BW294" s="298">
        <v>0</v>
      </c>
      <c r="BX294" s="298">
        <v>0</v>
      </c>
      <c r="BY294" s="298">
        <v>0</v>
      </c>
      <c r="BZ294" s="298">
        <v>0</v>
      </c>
      <c r="CA294" s="298">
        <v>0</v>
      </c>
      <c r="CB294" s="298">
        <v>0</v>
      </c>
      <c r="CC294" s="298">
        <v>1797264</v>
      </c>
      <c r="CD294" s="298">
        <v>0</v>
      </c>
      <c r="CE294" s="298">
        <v>0</v>
      </c>
      <c r="CF294" s="298">
        <v>0</v>
      </c>
      <c r="CG294" s="298">
        <v>0</v>
      </c>
      <c r="CH294" s="298">
        <v>0</v>
      </c>
      <c r="CI294" s="298">
        <v>381641</v>
      </c>
      <c r="CJ294" s="298">
        <v>0</v>
      </c>
      <c r="CK294" s="298">
        <v>0</v>
      </c>
      <c r="CL294" s="298">
        <v>0</v>
      </c>
      <c r="CM294" s="298">
        <v>0</v>
      </c>
      <c r="CN294" s="298">
        <v>0</v>
      </c>
      <c r="CO294" s="298">
        <v>0</v>
      </c>
      <c r="CP294" s="298">
        <v>0</v>
      </c>
      <c r="CQ294" s="298">
        <v>0</v>
      </c>
    </row>
    <row r="295" spans="1:95" x14ac:dyDescent="0.3">
      <c r="A295" s="1118" t="s">
        <v>791</v>
      </c>
      <c r="B295" s="270"/>
      <c r="C295" s="1119" t="s">
        <v>790</v>
      </c>
      <c r="D295" s="270"/>
      <c r="E295" s="1124">
        <v>0</v>
      </c>
      <c r="F295" s="1124">
        <v>0</v>
      </c>
      <c r="G295" s="1124">
        <v>559234</v>
      </c>
      <c r="H295" s="1124">
        <v>1482028</v>
      </c>
      <c r="I295" s="1124">
        <v>2005107</v>
      </c>
      <c r="J295" s="1124">
        <v>174147</v>
      </c>
      <c r="K295" s="1124">
        <v>20194793</v>
      </c>
      <c r="L295" s="1124">
        <v>725715</v>
      </c>
      <c r="M295" s="1124">
        <v>0</v>
      </c>
      <c r="N295" s="1124">
        <v>1500784</v>
      </c>
      <c r="O295" s="1124">
        <v>595248</v>
      </c>
      <c r="P295" s="1124">
        <v>0</v>
      </c>
      <c r="Q295" s="1124">
        <v>86430</v>
      </c>
      <c r="R295" s="1124">
        <v>0</v>
      </c>
      <c r="S295" s="1124">
        <v>0</v>
      </c>
      <c r="T295" s="1124">
        <v>0</v>
      </c>
      <c r="U295" s="1124">
        <v>5695692</v>
      </c>
      <c r="V295" s="1124">
        <v>0</v>
      </c>
      <c r="W295" s="1124">
        <v>2452861</v>
      </c>
      <c r="X295" s="1124">
        <v>0</v>
      </c>
      <c r="Y295" s="1124">
        <v>2217352</v>
      </c>
      <c r="Z295" s="1124">
        <v>0</v>
      </c>
      <c r="AA295" s="1124">
        <v>3150108</v>
      </c>
      <c r="AB295" s="1124">
        <v>2660457</v>
      </c>
      <c r="AC295" s="1124">
        <v>97436</v>
      </c>
      <c r="AD295" s="1124">
        <v>202667</v>
      </c>
      <c r="AE295" s="1124">
        <v>11472723</v>
      </c>
      <c r="AF295" s="1124">
        <v>0</v>
      </c>
      <c r="AG295" s="1124">
        <v>2167309</v>
      </c>
      <c r="AH295" s="1124">
        <v>0</v>
      </c>
      <c r="AI295" s="1124">
        <v>1689738</v>
      </c>
      <c r="AJ295" s="1124">
        <v>2075367</v>
      </c>
      <c r="AK295" s="1124">
        <v>991254</v>
      </c>
      <c r="AL295" s="1124">
        <v>1062414</v>
      </c>
      <c r="AM295" s="1124">
        <v>0</v>
      </c>
      <c r="AN295" s="1124">
        <v>65021</v>
      </c>
      <c r="AO295" s="1124">
        <v>0</v>
      </c>
      <c r="AP295" s="1124">
        <v>1364087</v>
      </c>
      <c r="AQ295" s="1124">
        <v>553357</v>
      </c>
      <c r="AR295" s="1124">
        <v>0</v>
      </c>
      <c r="AS295" s="1124">
        <v>0</v>
      </c>
      <c r="AT295" s="1124">
        <v>0</v>
      </c>
      <c r="AU295" s="1124">
        <v>0</v>
      </c>
      <c r="AV295" s="1124">
        <v>271391</v>
      </c>
      <c r="AW295" s="1124">
        <v>3121293</v>
      </c>
      <c r="AX295" s="1124">
        <v>422062</v>
      </c>
      <c r="AY295" s="1124">
        <v>0</v>
      </c>
      <c r="AZ295" s="1124">
        <v>456225</v>
      </c>
      <c r="BA295" s="1124">
        <v>3468740</v>
      </c>
      <c r="BB295" s="1124">
        <v>0</v>
      </c>
      <c r="BC295" s="1124">
        <v>1552911</v>
      </c>
      <c r="BD295" s="1124">
        <v>1056893</v>
      </c>
      <c r="BE295" s="1124">
        <v>136084</v>
      </c>
      <c r="BF295" s="1124">
        <v>1285455</v>
      </c>
      <c r="BG295" s="1124">
        <v>2164175</v>
      </c>
      <c r="BH295" s="1124">
        <v>7750220</v>
      </c>
      <c r="BI295" s="1124">
        <v>0</v>
      </c>
      <c r="BJ295" s="1124">
        <v>0</v>
      </c>
      <c r="BK295" s="1124">
        <v>0</v>
      </c>
      <c r="BL295" s="1124">
        <v>5112213</v>
      </c>
      <c r="BM295" s="1124">
        <v>3654356</v>
      </c>
      <c r="BN295" s="1124">
        <v>0</v>
      </c>
      <c r="BO295" s="1124">
        <v>0</v>
      </c>
      <c r="BP295" s="1124">
        <v>2244639</v>
      </c>
      <c r="BQ295" s="1124">
        <v>0</v>
      </c>
      <c r="BR295" s="1124">
        <v>0</v>
      </c>
      <c r="BS295" s="1124">
        <v>0</v>
      </c>
      <c r="BT295" s="298">
        <v>1562312</v>
      </c>
      <c r="BU295" s="298">
        <v>0</v>
      </c>
      <c r="BV295" s="298">
        <v>308075</v>
      </c>
      <c r="BW295" s="298">
        <v>1930030</v>
      </c>
      <c r="BX295" s="298">
        <v>3275425</v>
      </c>
      <c r="BY295" s="298">
        <v>100021</v>
      </c>
      <c r="BZ295" s="298">
        <v>0</v>
      </c>
      <c r="CA295" s="298">
        <v>7808659</v>
      </c>
      <c r="CB295" s="298">
        <v>0</v>
      </c>
      <c r="CC295" s="298">
        <v>21910423</v>
      </c>
      <c r="CD295" s="298">
        <v>688510</v>
      </c>
      <c r="CE295" s="298">
        <v>2399837</v>
      </c>
      <c r="CF295" s="298">
        <v>97516</v>
      </c>
      <c r="CG295" s="298">
        <v>1007899</v>
      </c>
      <c r="CH295" s="298">
        <v>93054181</v>
      </c>
      <c r="CI295" s="298">
        <v>1995438</v>
      </c>
      <c r="CJ295" s="298">
        <v>1122316</v>
      </c>
      <c r="CK295" s="298">
        <v>0</v>
      </c>
      <c r="CL295" s="298">
        <v>751442</v>
      </c>
      <c r="CM295" s="298">
        <v>8382559</v>
      </c>
      <c r="CN295" s="298">
        <v>3302489</v>
      </c>
      <c r="CO295" s="298">
        <v>2389020</v>
      </c>
      <c r="CP295" s="298">
        <v>0</v>
      </c>
      <c r="CQ295" s="298">
        <v>0</v>
      </c>
    </row>
    <row r="296" spans="1:95" x14ac:dyDescent="0.3">
      <c r="A296" s="1118" t="s">
        <v>794</v>
      </c>
      <c r="B296" s="270"/>
      <c r="C296" s="1119" t="s">
        <v>796</v>
      </c>
      <c r="D296" s="270"/>
      <c r="E296" s="1125" t="e">
        <v>#DIV/0!</v>
      </c>
      <c r="F296" s="1125" t="e">
        <v>#DIV/0!</v>
      </c>
      <c r="G296" s="1125">
        <v>29.191821277276823</v>
      </c>
      <c r="H296" s="1125">
        <v>47.494738222302445</v>
      </c>
      <c r="I296" s="1125">
        <v>48.229336404665261</v>
      </c>
      <c r="J296" s="1125">
        <v>156.60269219241144</v>
      </c>
      <c r="K296" s="1125">
        <v>61.695682692770696</v>
      </c>
      <c r="L296" s="1125">
        <v>162.83868056719797</v>
      </c>
      <c r="M296" s="1125" t="e">
        <v>#DIV/0!</v>
      </c>
      <c r="N296" s="1125">
        <v>31.047820666329265</v>
      </c>
      <c r="O296" s="1125">
        <v>49.892781399095156</v>
      </c>
      <c r="P296" s="1125" t="e">
        <v>#DIV/0!</v>
      </c>
      <c r="Q296" s="1125">
        <v>66.383621089044695</v>
      </c>
      <c r="R296" s="1125" t="e">
        <v>#DIV/0!</v>
      </c>
      <c r="S296" s="1125" t="e">
        <v>#DIV/0!</v>
      </c>
      <c r="T296" s="1125" t="e">
        <v>#DIV/0!</v>
      </c>
      <c r="U296" s="1125">
        <v>65.438516217348251</v>
      </c>
      <c r="V296" s="1125" t="e">
        <v>#DIV/0!</v>
      </c>
      <c r="W296" s="1125">
        <v>46.626903060203226</v>
      </c>
      <c r="X296" s="1125" t="e">
        <v>#DIV/0!</v>
      </c>
      <c r="Y296" s="1125">
        <v>32.591994078867174</v>
      </c>
      <c r="Z296" s="1125" t="e">
        <v>#DIV/0!</v>
      </c>
      <c r="AA296" s="1125">
        <v>66.524969700750759</v>
      </c>
      <c r="AB296" s="1125">
        <v>52.323495658006927</v>
      </c>
      <c r="AC296" s="1125">
        <v>26.206533827086893</v>
      </c>
      <c r="AD296" s="1125">
        <v>29.430325706979946</v>
      </c>
      <c r="AE296" s="1125">
        <v>63.462895673365722</v>
      </c>
      <c r="AF296" s="1125" t="e">
        <v>#DIV/0!</v>
      </c>
      <c r="AG296" s="1125">
        <v>108.7061811102176</v>
      </c>
      <c r="AH296" s="1125" t="e">
        <v>#DIV/0!</v>
      </c>
      <c r="AI296" s="1125">
        <v>34.696351600985224</v>
      </c>
      <c r="AJ296" s="1125">
        <v>42.370922095755731</v>
      </c>
      <c r="AK296" s="1125">
        <v>43.924890152271843</v>
      </c>
      <c r="AL296" s="1125">
        <v>91.875530906181524</v>
      </c>
      <c r="AM296" s="1125" t="e">
        <v>#DIV/0!</v>
      </c>
      <c r="AN296" s="1125">
        <v>46.152281808245689</v>
      </c>
      <c r="AO296" s="1125" t="e">
        <v>#DIV/0!</v>
      </c>
      <c r="AP296" s="1125">
        <v>46.116140643853846</v>
      </c>
      <c r="AQ296" s="1125">
        <v>27.118851675749557</v>
      </c>
      <c r="AR296" s="1125" t="e">
        <v>#DIV/0!</v>
      </c>
      <c r="AS296" s="1125" t="e">
        <v>#DIV/0!</v>
      </c>
      <c r="AT296" s="1125" t="e">
        <v>#DIV/0!</v>
      </c>
      <c r="AU296" s="1125" t="e">
        <v>#DIV/0!</v>
      </c>
      <c r="AV296" s="1125">
        <v>60.311861548606082</v>
      </c>
      <c r="AW296" s="1125">
        <v>39.40632321659568</v>
      </c>
      <c r="AX296" s="1125">
        <v>26.631509296322623</v>
      </c>
      <c r="AY296" s="1125" t="e">
        <v>#DIV/0!</v>
      </c>
      <c r="AZ296" s="1125" t="e">
        <v>#DIV/0!</v>
      </c>
      <c r="BA296" s="1125">
        <v>57.701914040754922</v>
      </c>
      <c r="BB296" s="1125" t="e">
        <v>#DIV/0!</v>
      </c>
      <c r="BC296" s="1125">
        <v>104.29426657491608</v>
      </c>
      <c r="BD296" s="1125">
        <v>95.902266529336714</v>
      </c>
      <c r="BE296" s="1125">
        <v>30.393650206052556</v>
      </c>
      <c r="BF296" s="1125">
        <v>33.693156783734416</v>
      </c>
      <c r="BG296" s="1125">
        <v>55.0435029437336</v>
      </c>
      <c r="BH296" s="1125">
        <v>58.097044675770483</v>
      </c>
      <c r="BI296" s="1125" t="e">
        <v>#DIV/0!</v>
      </c>
      <c r="BJ296" s="1125" t="e">
        <v>#DIV/0!</v>
      </c>
      <c r="BK296" s="1125" t="e">
        <v>#DIV/0!</v>
      </c>
      <c r="BL296" s="1125">
        <v>35.582426477838887</v>
      </c>
      <c r="BM296" s="1125">
        <v>77.659042263216847</v>
      </c>
      <c r="BN296" s="1125" t="e">
        <v>#DIV/0!</v>
      </c>
      <c r="BO296" s="1125" t="e">
        <v>#DIV/0!</v>
      </c>
      <c r="BP296" s="1125">
        <v>34.082565717461229</v>
      </c>
      <c r="BQ296" s="1125" t="e">
        <v>#DIV/0!</v>
      </c>
      <c r="BR296" s="1125" t="e">
        <v>#DIV/0!</v>
      </c>
      <c r="BS296" s="1125" t="e">
        <v>#DIV/0!</v>
      </c>
      <c r="BT296" s="298">
        <v>37.000541241165777</v>
      </c>
      <c r="BU296" s="298" t="e">
        <v>#DIV/0!</v>
      </c>
      <c r="BV296" s="298">
        <v>48.503272673973882</v>
      </c>
      <c r="BW296" s="298">
        <v>40.250930800366639</v>
      </c>
      <c r="BX296" s="298">
        <v>78.794675660959001</v>
      </c>
      <c r="BY296" s="298">
        <v>40.766512906075178</v>
      </c>
      <c r="BZ296" s="298" t="e">
        <v>#DIV/0!</v>
      </c>
      <c r="CA296" s="298">
        <v>29.983607153754949</v>
      </c>
      <c r="CB296" s="298" t="e">
        <v>#DIV/0!</v>
      </c>
      <c r="CC296" s="298">
        <v>45.10801467284525</v>
      </c>
      <c r="CD296" s="298" t="e">
        <v>#DIV/0!</v>
      </c>
      <c r="CE296" s="298">
        <v>47.737400844882032</v>
      </c>
      <c r="CF296" s="298">
        <v>64.941433594706609</v>
      </c>
      <c r="CG296" s="298">
        <v>42.270634225609932</v>
      </c>
      <c r="CH296" s="298">
        <v>47.362298736118113</v>
      </c>
      <c r="CI296" s="298">
        <v>47.84555252583587</v>
      </c>
      <c r="CJ296" s="298">
        <v>51.796212742095499</v>
      </c>
      <c r="CK296" s="298" t="e">
        <v>#DIV/0!</v>
      </c>
      <c r="CL296" s="298">
        <v>54.831408679701504</v>
      </c>
      <c r="CM296" s="298">
        <v>79.341278333635074</v>
      </c>
      <c r="CN296" s="298">
        <v>56.86389080858325</v>
      </c>
      <c r="CO296" s="298">
        <v>100.13828783678535</v>
      </c>
      <c r="CP296" s="298" t="e">
        <v>#DIV/0!</v>
      </c>
      <c r="CQ296" s="298" t="e">
        <v>#DIV/0!</v>
      </c>
    </row>
    <row r="297" spans="1:95" x14ac:dyDescent="0.3">
      <c r="A297" s="1118" t="s">
        <v>795</v>
      </c>
      <c r="B297" s="270"/>
      <c r="C297" s="1119" t="s">
        <v>797</v>
      </c>
      <c r="D297" s="270"/>
      <c r="E297" s="1125" t="e">
        <v>#DIV/0!</v>
      </c>
      <c r="F297" s="1125" t="e">
        <v>#DIV/0!</v>
      </c>
      <c r="G297" s="1125" t="e">
        <v>#DIV/0!</v>
      </c>
      <c r="H297" s="1125" t="e">
        <v>#DIV/0!</v>
      </c>
      <c r="I297" s="1125">
        <v>19.786928102343815</v>
      </c>
      <c r="J297" s="1125" t="e">
        <v>#DIV/0!</v>
      </c>
      <c r="K297" s="1125">
        <v>60.225363463591272</v>
      </c>
      <c r="L297" s="1125" t="e">
        <v>#DIV/0!</v>
      </c>
      <c r="M297" s="1125" t="e">
        <v>#DIV/0!</v>
      </c>
      <c r="N297" s="1125" t="e">
        <v>#DIV/0!</v>
      </c>
      <c r="O297" s="1125" t="e">
        <v>#DIV/0!</v>
      </c>
      <c r="P297" s="1125" t="e">
        <v>#DIV/0!</v>
      </c>
      <c r="Q297" s="1125" t="e">
        <v>#DIV/0!</v>
      </c>
      <c r="R297" s="1125" t="e">
        <v>#DIV/0!</v>
      </c>
      <c r="S297" s="1125" t="e">
        <v>#DIV/0!</v>
      </c>
      <c r="T297" s="1125" t="e">
        <v>#DIV/0!</v>
      </c>
      <c r="U297" s="1125" t="e">
        <v>#DIV/0!</v>
      </c>
      <c r="V297" s="1125" t="e">
        <v>#DIV/0!</v>
      </c>
      <c r="W297" s="1125" t="e">
        <v>#DIV/0!</v>
      </c>
      <c r="X297" s="1125" t="e">
        <v>#DIV/0!</v>
      </c>
      <c r="Y297" s="1125" t="e">
        <v>#DIV/0!</v>
      </c>
      <c r="Z297" s="1125" t="e">
        <v>#DIV/0!</v>
      </c>
      <c r="AA297" s="1125">
        <v>43.560940795839116</v>
      </c>
      <c r="AB297" s="1125" t="e">
        <v>#DIV/0!</v>
      </c>
      <c r="AC297" s="1125" t="e">
        <v>#DIV/0!</v>
      </c>
      <c r="AD297" s="1125" t="e">
        <v>#DIV/0!</v>
      </c>
      <c r="AE297" s="1125" t="e">
        <v>#DIV/0!</v>
      </c>
      <c r="AF297" s="1125" t="e">
        <v>#DIV/0!</v>
      </c>
      <c r="AG297" s="1125" t="e">
        <v>#DIV/0!</v>
      </c>
      <c r="AH297" s="1125" t="e">
        <v>#DIV/0!</v>
      </c>
      <c r="AI297" s="1125" t="e">
        <v>#DIV/0!</v>
      </c>
      <c r="AJ297" s="1125" t="e">
        <v>#DIV/0!</v>
      </c>
      <c r="AK297" s="1125" t="e">
        <v>#DIV/0!</v>
      </c>
      <c r="AL297" s="1125" t="e">
        <v>#DIV/0!</v>
      </c>
      <c r="AM297" s="1125" t="e">
        <v>#DIV/0!</v>
      </c>
      <c r="AN297" s="1125" t="e">
        <v>#DIV/0!</v>
      </c>
      <c r="AO297" s="1125" t="e">
        <v>#DIV/0!</v>
      </c>
      <c r="AP297" s="1125" t="e">
        <v>#DIV/0!</v>
      </c>
      <c r="AQ297" s="1125" t="e">
        <v>#DIV/0!</v>
      </c>
      <c r="AR297" s="1125" t="e">
        <v>#DIV/0!</v>
      </c>
      <c r="AS297" s="1125" t="e">
        <v>#DIV/0!</v>
      </c>
      <c r="AT297" s="1125" t="e">
        <v>#DIV/0!</v>
      </c>
      <c r="AU297" s="1125" t="e">
        <v>#DIV/0!</v>
      </c>
      <c r="AV297" s="1125" t="e">
        <v>#DIV/0!</v>
      </c>
      <c r="AW297" s="1125" t="e">
        <v>#DIV/0!</v>
      </c>
      <c r="AX297" s="1125" t="e">
        <v>#DIV/0!</v>
      </c>
      <c r="AY297" s="1125">
        <v>48.111589922993396</v>
      </c>
      <c r="AZ297" s="1125" t="e">
        <v>#DIV/0!</v>
      </c>
      <c r="BA297" s="1125" t="e">
        <v>#DIV/0!</v>
      </c>
      <c r="BB297" s="1125" t="e">
        <v>#DIV/0!</v>
      </c>
      <c r="BC297" s="1125" t="e">
        <v>#DIV/0!</v>
      </c>
      <c r="BD297" s="1125" t="e">
        <v>#DIV/0!</v>
      </c>
      <c r="BE297" s="1125">
        <v>42.866364291366949</v>
      </c>
      <c r="BF297" s="1125" t="e">
        <v>#DIV/0!</v>
      </c>
      <c r="BG297" s="1125" t="e">
        <v>#DIV/0!</v>
      </c>
      <c r="BH297" s="1125">
        <v>52.444367637481974</v>
      </c>
      <c r="BI297" s="1125" t="e">
        <v>#DIV/0!</v>
      </c>
      <c r="BJ297" s="1125" t="e">
        <v>#DIV/0!</v>
      </c>
      <c r="BK297" s="1125" t="e">
        <v>#DIV/0!</v>
      </c>
      <c r="BL297" s="1125">
        <v>33.284404926870728</v>
      </c>
      <c r="BM297" s="1125" t="e">
        <v>#DIV/0!</v>
      </c>
      <c r="BN297" s="1125" t="e">
        <v>#DIV/0!</v>
      </c>
      <c r="BO297" s="1125" t="e">
        <v>#DIV/0!</v>
      </c>
      <c r="BP297" s="1125" t="e">
        <v>#DIV/0!</v>
      </c>
      <c r="BQ297" s="1125" t="e">
        <v>#DIV/0!</v>
      </c>
      <c r="BR297" s="1125" t="e">
        <v>#DIV/0!</v>
      </c>
      <c r="BS297" s="1125" t="e">
        <v>#DIV/0!</v>
      </c>
      <c r="BT297" s="298" t="e">
        <v>#DIV/0!</v>
      </c>
      <c r="BU297" s="298" t="e">
        <v>#DIV/0!</v>
      </c>
      <c r="BV297" s="298" t="e">
        <v>#DIV/0!</v>
      </c>
      <c r="BW297" s="298" t="e">
        <v>#DIV/0!</v>
      </c>
      <c r="BX297" s="298" t="e">
        <v>#DIV/0!</v>
      </c>
      <c r="BY297" s="298" t="e">
        <v>#DIV/0!</v>
      </c>
      <c r="BZ297" s="298" t="e">
        <v>#DIV/0!</v>
      </c>
      <c r="CA297" s="298" t="e">
        <v>#DIV/0!</v>
      </c>
      <c r="CB297" s="298" t="e">
        <v>#DIV/0!</v>
      </c>
      <c r="CC297" s="298">
        <v>40.066115664835891</v>
      </c>
      <c r="CD297" s="298" t="e">
        <v>#DIV/0!</v>
      </c>
      <c r="CE297" s="298">
        <v>45.944915057546069</v>
      </c>
      <c r="CF297" s="298" t="e">
        <v>#DIV/0!</v>
      </c>
      <c r="CG297" s="298" t="e">
        <v>#DIV/0!</v>
      </c>
      <c r="CH297" s="298" t="e">
        <v>#DIV/0!</v>
      </c>
      <c r="CI297" s="298">
        <v>49.021530890211366</v>
      </c>
      <c r="CJ297" s="298" t="e">
        <v>#DIV/0!</v>
      </c>
      <c r="CK297" s="298" t="e">
        <v>#DIV/0!</v>
      </c>
      <c r="CL297" s="298" t="e">
        <v>#DIV/0!</v>
      </c>
      <c r="CM297" s="298" t="e">
        <v>#DIV/0!</v>
      </c>
      <c r="CN297" s="298" t="e">
        <v>#DIV/0!</v>
      </c>
      <c r="CO297" s="298" t="e">
        <v>#DIV/0!</v>
      </c>
      <c r="CP297" s="298" t="e">
        <v>#DIV/0!</v>
      </c>
      <c r="CQ297" s="298" t="e">
        <v>#DIV/0!</v>
      </c>
    </row>
    <row r="298" spans="1:95" x14ac:dyDescent="0.3">
      <c r="A298" s="299" t="s">
        <v>865</v>
      </c>
      <c r="C298" s="299" t="s">
        <v>868</v>
      </c>
      <c r="E298" s="414">
        <f>+E290-E8</f>
        <v>636060</v>
      </c>
      <c r="F298" s="414">
        <f t="shared" ref="F298:BQ298" si="0">+F290-F8</f>
        <v>8690978</v>
      </c>
      <c r="G298" s="414">
        <f t="shared" si="0"/>
        <v>862128</v>
      </c>
      <c r="H298" s="414">
        <f t="shared" si="0"/>
        <v>613157</v>
      </c>
      <c r="I298" s="414">
        <f t="shared" si="0"/>
        <v>376464</v>
      </c>
      <c r="J298" s="414">
        <f t="shared" si="0"/>
        <v>626192</v>
      </c>
      <c r="K298" s="414">
        <f t="shared" si="0"/>
        <v>16110002</v>
      </c>
      <c r="L298" s="414">
        <f t="shared" si="0"/>
        <v>499572</v>
      </c>
      <c r="M298" s="414">
        <f t="shared" si="0"/>
        <v>386073</v>
      </c>
      <c r="N298" s="414">
        <f t="shared" si="0"/>
        <v>3013395</v>
      </c>
      <c r="O298" s="414">
        <f t="shared" si="0"/>
        <v>613630</v>
      </c>
      <c r="P298" s="414">
        <f t="shared" si="0"/>
        <v>245999</v>
      </c>
      <c r="Q298" s="414">
        <f t="shared" si="0"/>
        <v>260789</v>
      </c>
      <c r="R298" s="414">
        <f t="shared" si="0"/>
        <v>1097049</v>
      </c>
      <c r="S298" s="414">
        <f t="shared" si="0"/>
        <v>6843013</v>
      </c>
      <c r="T298" s="414">
        <f t="shared" si="0"/>
        <v>7134021</v>
      </c>
      <c r="U298" s="414">
        <f t="shared" si="0"/>
        <v>5741840</v>
      </c>
      <c r="V298" s="414">
        <f t="shared" si="0"/>
        <v>2279672</v>
      </c>
      <c r="W298" s="414">
        <f t="shared" si="0"/>
        <v>3569972</v>
      </c>
      <c r="X298" s="414">
        <f t="shared" si="0"/>
        <v>5003398</v>
      </c>
      <c r="Y298" s="414">
        <f t="shared" si="0"/>
        <v>2216994</v>
      </c>
      <c r="Z298" s="414">
        <f t="shared" si="0"/>
        <v>78753</v>
      </c>
      <c r="AA298" s="414">
        <f t="shared" si="0"/>
        <v>2704492</v>
      </c>
      <c r="AB298" s="414">
        <f t="shared" si="0"/>
        <v>769219</v>
      </c>
      <c r="AC298" s="414">
        <f t="shared" si="0"/>
        <v>452742</v>
      </c>
      <c r="AD298" s="414">
        <f t="shared" si="0"/>
        <v>503489</v>
      </c>
      <c r="AE298" s="414">
        <f t="shared" si="0"/>
        <v>9104615</v>
      </c>
      <c r="AF298" s="414">
        <f t="shared" si="0"/>
        <v>1555754</v>
      </c>
      <c r="AG298" s="414">
        <f t="shared" si="0"/>
        <v>2564272</v>
      </c>
      <c r="AH298" s="414">
        <f t="shared" si="0"/>
        <v>1492795</v>
      </c>
      <c r="AI298" s="414">
        <f t="shared" si="0"/>
        <v>614538</v>
      </c>
      <c r="AJ298" s="414">
        <f t="shared" si="0"/>
        <v>6105722</v>
      </c>
      <c r="AK298" s="414">
        <f t="shared" si="0"/>
        <v>1908113</v>
      </c>
      <c r="AL298" s="414">
        <f t="shared" si="0"/>
        <v>1044980</v>
      </c>
      <c r="AM298" s="414">
        <f t="shared" si="0"/>
        <v>0</v>
      </c>
      <c r="AN298" s="414">
        <f t="shared" si="0"/>
        <v>114084</v>
      </c>
      <c r="AO298" s="414">
        <f t="shared" si="0"/>
        <v>2885984</v>
      </c>
      <c r="AP298" s="414">
        <f t="shared" si="0"/>
        <v>3313437</v>
      </c>
      <c r="AQ298" s="414">
        <f t="shared" si="0"/>
        <v>395991</v>
      </c>
      <c r="AR298" s="414">
        <f t="shared" si="0"/>
        <v>250216</v>
      </c>
      <c r="AS298" s="414">
        <f t="shared" si="0"/>
        <v>1493238</v>
      </c>
      <c r="AT298" s="414">
        <f t="shared" si="0"/>
        <v>438175</v>
      </c>
      <c r="AU298" s="414">
        <f t="shared" si="0"/>
        <v>70779</v>
      </c>
      <c r="AV298" s="414">
        <f t="shared" si="0"/>
        <v>87845</v>
      </c>
      <c r="AW298" s="414">
        <f t="shared" si="0"/>
        <v>2917115</v>
      </c>
      <c r="AX298" s="414">
        <f t="shared" si="0"/>
        <v>873036</v>
      </c>
      <c r="AY298" s="414" t="e">
        <f t="shared" si="0"/>
        <v>#REF!</v>
      </c>
      <c r="AZ298" s="414">
        <f t="shared" si="0"/>
        <v>3904025</v>
      </c>
      <c r="BA298" s="414">
        <f t="shared" si="0"/>
        <v>1841569</v>
      </c>
      <c r="BB298" s="414">
        <f t="shared" si="0"/>
        <v>2958789</v>
      </c>
      <c r="BC298" s="414">
        <f t="shared" si="0"/>
        <v>1076312</v>
      </c>
      <c r="BD298" s="414">
        <f t="shared" si="0"/>
        <v>827996</v>
      </c>
      <c r="BE298" s="414">
        <f t="shared" si="0"/>
        <v>171754</v>
      </c>
      <c r="BF298" s="414">
        <f t="shared" si="0"/>
        <v>858757</v>
      </c>
      <c r="BG298" s="414">
        <f t="shared" si="0"/>
        <v>1470913</v>
      </c>
      <c r="BH298" s="414">
        <f t="shared" si="0"/>
        <v>8707967</v>
      </c>
      <c r="BI298" s="414">
        <f t="shared" si="0"/>
        <v>364472</v>
      </c>
      <c r="BJ298" s="414">
        <f t="shared" si="0"/>
        <v>201362</v>
      </c>
      <c r="BK298" s="414">
        <f t="shared" si="0"/>
        <v>6228838</v>
      </c>
      <c r="BL298" s="414">
        <f t="shared" si="0"/>
        <v>6490608</v>
      </c>
      <c r="BM298" s="414">
        <f t="shared" si="0"/>
        <v>7169364</v>
      </c>
      <c r="BN298" s="414">
        <f t="shared" si="0"/>
        <v>137276</v>
      </c>
      <c r="BO298" s="414">
        <f t="shared" si="0"/>
        <v>3046238</v>
      </c>
      <c r="BP298" s="414">
        <f t="shared" si="0"/>
        <v>1634044</v>
      </c>
      <c r="BQ298" s="414">
        <f t="shared" si="0"/>
        <v>7033076</v>
      </c>
      <c r="BR298" s="414">
        <f t="shared" ref="BR298:BS298" si="1">+BR290-BR8</f>
        <v>1691112</v>
      </c>
      <c r="BS298" s="414">
        <f t="shared" si="1"/>
        <v>1051156</v>
      </c>
      <c r="BT298" s="414">
        <f t="shared" ref="BT298:CQ298" si="2">+BT290-BT8</f>
        <v>1918244</v>
      </c>
      <c r="BU298" s="414">
        <f t="shared" si="2"/>
        <v>2426930</v>
      </c>
      <c r="BV298" s="414">
        <f t="shared" si="2"/>
        <v>431818</v>
      </c>
      <c r="BW298" s="414">
        <f t="shared" si="2"/>
        <v>432609</v>
      </c>
      <c r="BX298" s="414">
        <f t="shared" si="2"/>
        <v>1987110</v>
      </c>
      <c r="BY298" s="414">
        <f t="shared" si="2"/>
        <v>604761</v>
      </c>
      <c r="BZ298" s="414">
        <f t="shared" si="2"/>
        <v>0</v>
      </c>
      <c r="CA298" s="414">
        <f t="shared" si="2"/>
        <v>3509778</v>
      </c>
      <c r="CB298" s="414">
        <f t="shared" si="2"/>
        <v>57419154</v>
      </c>
      <c r="CC298" s="414">
        <f t="shared" si="2"/>
        <v>18238486</v>
      </c>
      <c r="CD298" s="414">
        <f t="shared" si="2"/>
        <v>811611</v>
      </c>
      <c r="CE298" s="414">
        <f t="shared" si="2"/>
        <v>1059018</v>
      </c>
      <c r="CF298" s="414">
        <f t="shared" si="2"/>
        <v>232779</v>
      </c>
      <c r="CG298" s="414">
        <f t="shared" si="2"/>
        <v>920164</v>
      </c>
      <c r="CH298" s="414">
        <f t="shared" si="2"/>
        <v>55495628</v>
      </c>
      <c r="CI298" s="414">
        <f t="shared" si="2"/>
        <v>5903954</v>
      </c>
      <c r="CJ298" s="414">
        <f t="shared" si="2"/>
        <v>873679</v>
      </c>
      <c r="CK298" s="414">
        <f t="shared" si="2"/>
        <v>2398443</v>
      </c>
      <c r="CL298" s="414">
        <f t="shared" si="2"/>
        <v>841921</v>
      </c>
      <c r="CM298" s="414">
        <f t="shared" si="2"/>
        <v>11960561</v>
      </c>
      <c r="CN298" s="414">
        <f t="shared" si="2"/>
        <v>2086371</v>
      </c>
      <c r="CO298" s="414">
        <f t="shared" si="2"/>
        <v>1471983</v>
      </c>
      <c r="CP298" s="414">
        <f t="shared" si="2"/>
        <v>1441413</v>
      </c>
      <c r="CQ298" s="414">
        <f t="shared" si="2"/>
        <v>9333023</v>
      </c>
    </row>
    <row r="299" spans="1:95" x14ac:dyDescent="0.3">
      <c r="A299" s="299" t="s">
        <v>866</v>
      </c>
      <c r="C299" s="298" t="s">
        <v>867</v>
      </c>
      <c r="E299" s="415">
        <f>E298/E291</f>
        <v>6.093812872444385</v>
      </c>
      <c r="F299" s="415">
        <f t="shared" ref="F299:BQ299" si="3">F298/F291</f>
        <v>1.3031899970655283</v>
      </c>
      <c r="G299" s="415">
        <f t="shared" si="3"/>
        <v>0.88271647915992613</v>
      </c>
      <c r="H299" s="415">
        <f t="shared" si="3"/>
        <v>0.1998240825111032</v>
      </c>
      <c r="I299" s="415">
        <f t="shared" si="3"/>
        <v>0.43826966464798867</v>
      </c>
      <c r="J299" s="415">
        <f t="shared" si="3"/>
        <v>0.9139514382294045</v>
      </c>
      <c r="K299" s="415">
        <f t="shared" si="3"/>
        <v>0.45941034532653691</v>
      </c>
      <c r="L299" s="415">
        <f t="shared" si="3"/>
        <v>0.72460232390494939</v>
      </c>
      <c r="M299" s="415">
        <f t="shared" si="3"/>
        <v>0.64248057113378043</v>
      </c>
      <c r="N299" s="415">
        <f t="shared" si="3"/>
        <v>7.0987761928880202</v>
      </c>
      <c r="O299" s="415">
        <f t="shared" si="3"/>
        <v>0.46103726811207107</v>
      </c>
      <c r="P299" s="415">
        <f t="shared" si="3"/>
        <v>2.4373470459431879</v>
      </c>
      <c r="Q299" s="415">
        <f t="shared" si="3"/>
        <v>0.70582137743820417</v>
      </c>
      <c r="R299" s="415">
        <f t="shared" si="3"/>
        <v>0.57400816656271847</v>
      </c>
      <c r="S299" s="415">
        <f t="shared" si="3"/>
        <v>4.9502466076081593</v>
      </c>
      <c r="T299" s="415">
        <f t="shared" si="3"/>
        <v>0.88000065623629242</v>
      </c>
      <c r="U299" s="415">
        <f t="shared" si="3"/>
        <v>0.56699820494939435</v>
      </c>
      <c r="V299" s="415">
        <f t="shared" si="3"/>
        <v>0.44491119134109475</v>
      </c>
      <c r="W299" s="415">
        <f t="shared" si="3"/>
        <v>18.089638153727659</v>
      </c>
      <c r="X299" s="415">
        <f t="shared" si="3"/>
        <v>1.4836268425250785</v>
      </c>
      <c r="Y299" s="415">
        <f t="shared" si="3"/>
        <v>0.84533944836590147</v>
      </c>
      <c r="Z299" s="415">
        <f t="shared" si="3"/>
        <v>0.9632805333007155</v>
      </c>
      <c r="AA299" s="415">
        <f t="shared" si="3"/>
        <v>0.24008608858346214</v>
      </c>
      <c r="AB299" s="415">
        <f t="shared" si="3"/>
        <v>0.40964975065876785</v>
      </c>
      <c r="AC299" s="415">
        <f t="shared" si="3"/>
        <v>0.62892014135846375</v>
      </c>
      <c r="AD299" s="415">
        <f t="shared" si="3"/>
        <v>2.1196056226556483</v>
      </c>
      <c r="AE299" s="415">
        <f t="shared" si="3"/>
        <v>0.4216787228036406</v>
      </c>
      <c r="AF299" s="415">
        <f t="shared" si="3"/>
        <v>2.0277147456158073</v>
      </c>
      <c r="AG299" s="415">
        <f t="shared" si="3"/>
        <v>0.88037900347136033</v>
      </c>
      <c r="AH299" s="415">
        <f t="shared" si="3"/>
        <v>0.49340439596760866</v>
      </c>
      <c r="AI299" s="415">
        <f t="shared" si="3"/>
        <v>6.2134169152216776</v>
      </c>
      <c r="AJ299" s="415">
        <f t="shared" si="3"/>
        <v>1.9824300517091689</v>
      </c>
      <c r="AK299" s="415">
        <f t="shared" si="3"/>
        <v>0.52889602542098513</v>
      </c>
      <c r="AL299" s="415">
        <f t="shared" si="3"/>
        <v>0.34760804496836872</v>
      </c>
      <c r="AM299" s="415" t="e">
        <f t="shared" si="3"/>
        <v>#DIV/0!</v>
      </c>
      <c r="AN299" s="415">
        <f t="shared" si="3"/>
        <v>0.68193311216712993</v>
      </c>
      <c r="AO299" s="415">
        <f t="shared" si="3"/>
        <v>7.2852443953036925</v>
      </c>
      <c r="AP299" s="415">
        <f t="shared" si="3"/>
        <v>0.64285182134141772</v>
      </c>
      <c r="AQ299" s="415">
        <f t="shared" si="3"/>
        <v>0.47867259621719177</v>
      </c>
      <c r="AR299" s="415">
        <f t="shared" si="3"/>
        <v>2.7387616160068302</v>
      </c>
      <c r="AS299" s="415">
        <f t="shared" si="3"/>
        <v>5.6971202270854313</v>
      </c>
      <c r="AT299" s="415">
        <f t="shared" si="3"/>
        <v>0.52704983202485522</v>
      </c>
      <c r="AU299" s="415">
        <f t="shared" si="3"/>
        <v>0.78317012448132783</v>
      </c>
      <c r="AV299" s="415">
        <f t="shared" si="3"/>
        <v>0.16349734871679381</v>
      </c>
      <c r="AW299" s="415">
        <f t="shared" si="3"/>
        <v>0.65624891032555821</v>
      </c>
      <c r="AX299" s="415">
        <f t="shared" si="3"/>
        <v>2.5426406258191161</v>
      </c>
      <c r="AY299" s="415" t="e">
        <f t="shared" si="3"/>
        <v>#REF!</v>
      </c>
      <c r="AZ299" s="415">
        <f t="shared" si="3"/>
        <v>1.8750069039579009</v>
      </c>
      <c r="BA299" s="415">
        <f t="shared" si="3"/>
        <v>0.44046168892252252</v>
      </c>
      <c r="BB299" s="415">
        <f t="shared" si="3"/>
        <v>4.5971840045742054</v>
      </c>
      <c r="BC299" s="415">
        <f t="shared" si="3"/>
        <v>1.2765776760923377</v>
      </c>
      <c r="BD299" s="415">
        <f t="shared" si="3"/>
        <v>0.59862070760490549</v>
      </c>
      <c r="BE299" s="415">
        <f t="shared" si="3"/>
        <v>0.75451158867665924</v>
      </c>
      <c r="BF299" s="415">
        <f t="shared" si="3"/>
        <v>0.88212538353523184</v>
      </c>
      <c r="BG299" s="415">
        <f t="shared" si="3"/>
        <v>0.53872236503950188</v>
      </c>
      <c r="BH299" s="415">
        <f t="shared" si="3"/>
        <v>0.67037068144115464</v>
      </c>
      <c r="BI299" s="415">
        <f t="shared" si="3"/>
        <v>1.3464304844936184</v>
      </c>
      <c r="BJ299" s="415">
        <f t="shared" si="3"/>
        <v>3.4817235536189783</v>
      </c>
      <c r="BK299" s="415">
        <f t="shared" si="3"/>
        <v>0.61403094741258435</v>
      </c>
      <c r="BL299" s="415">
        <f t="shared" si="3"/>
        <v>0.46501538383280788</v>
      </c>
      <c r="BM299" s="415">
        <f t="shared" si="3"/>
        <v>1.0703575430771284</v>
      </c>
      <c r="BN299" s="415">
        <f t="shared" si="3"/>
        <v>1.7160787059029428</v>
      </c>
      <c r="BO299" s="415">
        <f t="shared" si="3"/>
        <v>1.8046519177816009</v>
      </c>
      <c r="BP299" s="415">
        <f t="shared" si="3"/>
        <v>1.0382588727760478</v>
      </c>
      <c r="BQ299" s="415">
        <f t="shared" si="3"/>
        <v>1.0956571753319184</v>
      </c>
      <c r="BR299" s="415">
        <f t="shared" ref="BR299:BS299" si="4">BR298/BR291</f>
        <v>3.2153230130391632</v>
      </c>
      <c r="BS299" s="415">
        <f t="shared" si="4"/>
        <v>1.4616522701611334</v>
      </c>
      <c r="BT299" s="415">
        <f t="shared" ref="BT299:CQ299" si="5">BT298/BT291</f>
        <v>0.80195789963924846</v>
      </c>
      <c r="BU299" s="415">
        <f t="shared" si="5"/>
        <v>0.7269380706980394</v>
      </c>
      <c r="BV299" s="415">
        <f t="shared" si="5"/>
        <v>0.80779325245760569</v>
      </c>
      <c r="BW299" s="415">
        <f t="shared" si="5"/>
        <v>0.23638996429088585</v>
      </c>
      <c r="BX299" s="415">
        <f t="shared" si="5"/>
        <v>0.37422738657978494</v>
      </c>
      <c r="BY299" s="415">
        <f t="shared" si="5"/>
        <v>3.9245475252600635</v>
      </c>
      <c r="BZ299" s="415" t="e">
        <f t="shared" si="5"/>
        <v>#DIV/0!</v>
      </c>
      <c r="CA299" s="415">
        <f t="shared" si="5"/>
        <v>0.59043316647634791</v>
      </c>
      <c r="CB299" s="415">
        <f t="shared" si="5"/>
        <v>0.40197469513109485</v>
      </c>
      <c r="CC299" s="415">
        <f t="shared" si="5"/>
        <v>0.32722264291644021</v>
      </c>
      <c r="CD299" s="415">
        <f t="shared" si="5"/>
        <v>0.69135645774060006</v>
      </c>
      <c r="CE299" s="415">
        <f t="shared" si="5"/>
        <v>0.3518824393710881</v>
      </c>
      <c r="CF299" s="415">
        <f t="shared" si="5"/>
        <v>0.46032411481455848</v>
      </c>
      <c r="CG299" s="415">
        <f t="shared" si="5"/>
        <v>0.58660958017715004</v>
      </c>
      <c r="CH299" s="415">
        <f t="shared" si="5"/>
        <v>0.27115763052903979</v>
      </c>
      <c r="CI299" s="415">
        <f t="shared" si="5"/>
        <v>0.70151269606476119</v>
      </c>
      <c r="CJ299" s="415">
        <f t="shared" si="5"/>
        <v>1.5087128230721012</v>
      </c>
      <c r="CK299" s="415">
        <f t="shared" si="5"/>
        <v>0.5992170643886966</v>
      </c>
      <c r="CL299" s="415">
        <f t="shared" si="5"/>
        <v>2.360901264686913</v>
      </c>
      <c r="CM299" s="415">
        <f t="shared" si="5"/>
        <v>0.97805138126923197</v>
      </c>
      <c r="CN299" s="415">
        <f t="shared" si="5"/>
        <v>0.75344732945722437</v>
      </c>
      <c r="CO299" s="415">
        <f t="shared" si="5"/>
        <v>1.7638868750681538</v>
      </c>
      <c r="CP299" s="415">
        <f t="shared" si="5"/>
        <v>0.67171653389192698</v>
      </c>
      <c r="CQ299" s="415">
        <f t="shared" si="5"/>
        <v>0.90125798231306087</v>
      </c>
    </row>
    <row r="300" spans="1:95" x14ac:dyDescent="0.3">
      <c r="A300" s="299" t="s">
        <v>1088</v>
      </c>
      <c r="C300" s="313" t="s">
        <v>1090</v>
      </c>
      <c r="E300" s="403" t="e">
        <f>E295/E32</f>
        <v>#DIV/0!</v>
      </c>
      <c r="F300" s="403" t="e">
        <f t="shared" ref="F300:BQ300" si="6">F295/F32</f>
        <v>#DIV/0!</v>
      </c>
      <c r="G300" s="403">
        <f t="shared" si="6"/>
        <v>9.4428515948195795</v>
      </c>
      <c r="H300" s="403">
        <f t="shared" si="6"/>
        <v>2.2007288105894336</v>
      </c>
      <c r="I300" s="403">
        <f t="shared" si="6"/>
        <v>23.789042201051171</v>
      </c>
      <c r="J300" s="403">
        <f t="shared" si="6"/>
        <v>1.3090511376876415</v>
      </c>
      <c r="K300" s="403">
        <f t="shared" si="6"/>
        <v>6.7669209942566866</v>
      </c>
      <c r="L300" s="403">
        <f t="shared" si="6"/>
        <v>12.908943754669323</v>
      </c>
      <c r="M300" s="403" t="e">
        <f t="shared" si="6"/>
        <v>#DIV/0!</v>
      </c>
      <c r="N300" s="403">
        <f t="shared" si="6"/>
        <v>84.399055224384213</v>
      </c>
      <c r="O300" s="403">
        <f t="shared" si="6"/>
        <v>1.2046408933699499</v>
      </c>
      <c r="P300" s="403" t="e">
        <f t="shared" si="6"/>
        <v>#DIV/0!</v>
      </c>
      <c r="Q300" s="403">
        <f t="shared" si="6"/>
        <v>3.7449629533341997</v>
      </c>
      <c r="R300" s="403" t="e">
        <f t="shared" si="6"/>
        <v>#DIV/0!</v>
      </c>
      <c r="S300" s="403" t="e">
        <f t="shared" si="6"/>
        <v>#DIV/0!</v>
      </c>
      <c r="T300" s="403" t="e">
        <f t="shared" si="6"/>
        <v>#DIV/0!</v>
      </c>
      <c r="U300" s="403">
        <f t="shared" si="6"/>
        <v>2.2019688893218836</v>
      </c>
      <c r="V300" s="403" t="e">
        <f t="shared" si="6"/>
        <v>#DIV/0!</v>
      </c>
      <c r="W300" s="403">
        <f t="shared" si="6"/>
        <v>44.448771383009571</v>
      </c>
      <c r="X300" s="403" t="e">
        <f t="shared" si="6"/>
        <v>#DIV/0!</v>
      </c>
      <c r="Y300" s="403">
        <f t="shared" si="6"/>
        <v>15.863269876018572</v>
      </c>
      <c r="Z300" s="403" t="e">
        <f t="shared" si="6"/>
        <v>#DIV/0!</v>
      </c>
      <c r="AA300" s="403">
        <f t="shared" si="6"/>
        <v>17.66646850989849</v>
      </c>
      <c r="AB300" s="403">
        <f t="shared" si="6"/>
        <v>7.9423502333037783</v>
      </c>
      <c r="AC300" s="403">
        <f t="shared" si="6"/>
        <v>0.27287799522779976</v>
      </c>
      <c r="AD300" s="403">
        <f t="shared" si="6"/>
        <v>3.6482394873271891</v>
      </c>
      <c r="AE300" s="403">
        <f t="shared" si="6"/>
        <v>2.9998760589572373</v>
      </c>
      <c r="AF300" s="403" t="e">
        <f t="shared" si="6"/>
        <v>#DIV/0!</v>
      </c>
      <c r="AG300" s="403">
        <f t="shared" si="6"/>
        <v>5.8666931943068432</v>
      </c>
      <c r="AH300" s="403" t="e">
        <f t="shared" si="6"/>
        <v>#DIV/0!</v>
      </c>
      <c r="AI300" s="403">
        <f t="shared" si="6"/>
        <v>1.2743727643168568</v>
      </c>
      <c r="AJ300" s="403">
        <f t="shared" si="6"/>
        <v>1.2463102229209666</v>
      </c>
      <c r="AK300" s="403">
        <f t="shared" si="6"/>
        <v>2.7510379662522202</v>
      </c>
      <c r="AL300" s="403">
        <f t="shared" si="6"/>
        <v>4.167849450976238</v>
      </c>
      <c r="AM300" s="403" t="e">
        <f t="shared" si="6"/>
        <v>#DIV/0!</v>
      </c>
      <c r="AN300" s="403">
        <f t="shared" si="6"/>
        <v>16.190488047808763</v>
      </c>
      <c r="AO300" s="403" t="e">
        <f t="shared" si="6"/>
        <v>#DIV/0!</v>
      </c>
      <c r="AP300" s="403">
        <f t="shared" si="6"/>
        <v>5.4803299237463134</v>
      </c>
      <c r="AQ300" s="403">
        <f t="shared" si="6"/>
        <v>1.1905475997865711</v>
      </c>
      <c r="AR300" s="403" t="e">
        <f t="shared" si="6"/>
        <v>#DIV/0!</v>
      </c>
      <c r="AS300" s="403" t="e">
        <f t="shared" si="6"/>
        <v>#DIV/0!</v>
      </c>
      <c r="AT300" s="403" t="e">
        <f t="shared" si="6"/>
        <v>#DIV/0!</v>
      </c>
      <c r="AU300" s="403" t="e">
        <f t="shared" si="6"/>
        <v>#DIV/0!</v>
      </c>
      <c r="AV300" s="403">
        <f t="shared" si="6"/>
        <v>18.867561179087875</v>
      </c>
      <c r="AW300" s="403">
        <f t="shared" si="6"/>
        <v>14.391133754437734</v>
      </c>
      <c r="AX300" s="403" t="e">
        <f>AX295/AX32</f>
        <v>#DIV/0!</v>
      </c>
      <c r="AY300" s="403" t="e">
        <f t="shared" si="6"/>
        <v>#DIV/0!</v>
      </c>
      <c r="AZ300" s="403">
        <f t="shared" si="6"/>
        <v>2.301179781798373</v>
      </c>
      <c r="BA300" s="403">
        <f t="shared" si="6"/>
        <v>8.5125587444936617</v>
      </c>
      <c r="BB300" s="403" t="e">
        <f t="shared" si="6"/>
        <v>#DIV/0!</v>
      </c>
      <c r="BC300" s="403">
        <f t="shared" si="6"/>
        <v>9.8245089045645777</v>
      </c>
      <c r="BD300" s="403">
        <f t="shared" si="6"/>
        <v>11.007926092571761</v>
      </c>
      <c r="BE300" s="403">
        <f t="shared" si="6"/>
        <v>1.1795134043493711</v>
      </c>
      <c r="BF300" s="403">
        <f t="shared" si="6"/>
        <v>1.6991371174329244</v>
      </c>
      <c r="BG300" s="403">
        <f t="shared" si="6"/>
        <v>10.735687321107015</v>
      </c>
      <c r="BH300" s="403">
        <f t="shared" si="6"/>
        <v>18.487194105257132</v>
      </c>
      <c r="BI300" s="403" t="e">
        <f t="shared" si="6"/>
        <v>#DIV/0!</v>
      </c>
      <c r="BJ300" s="403" t="e">
        <f t="shared" si="6"/>
        <v>#DIV/0!</v>
      </c>
      <c r="BK300" s="403" t="e">
        <f t="shared" si="6"/>
        <v>#DIV/0!</v>
      </c>
      <c r="BL300" s="403">
        <f t="shared" si="6"/>
        <v>19.041459635426367</v>
      </c>
      <c r="BM300" s="403">
        <f t="shared" si="6"/>
        <v>6.6629884621555782</v>
      </c>
      <c r="BN300" s="403" t="e">
        <f t="shared" si="6"/>
        <v>#DIV/0!</v>
      </c>
      <c r="BO300" s="403" t="e">
        <f t="shared" si="6"/>
        <v>#DIV/0!</v>
      </c>
      <c r="BP300" s="403">
        <f t="shared" si="6"/>
        <v>15.44798799749489</v>
      </c>
      <c r="BQ300" s="403" t="e">
        <f t="shared" si="6"/>
        <v>#DIV/0!</v>
      </c>
      <c r="BR300" s="403" t="e">
        <f t="shared" ref="BR300:BS300" si="7">BR295/BR32</f>
        <v>#DIV/0!</v>
      </c>
      <c r="BS300" s="403" t="e">
        <f t="shared" si="7"/>
        <v>#DIV/0!</v>
      </c>
      <c r="BT300" s="403">
        <f t="shared" ref="BT300:CQ300" si="8">BT295/BT32</f>
        <v>1.2894746398940895</v>
      </c>
      <c r="BU300" s="403" t="e">
        <f t="shared" si="8"/>
        <v>#DIV/0!</v>
      </c>
      <c r="BV300" s="403">
        <f t="shared" si="8"/>
        <v>6.7961218592133417</v>
      </c>
      <c r="BW300" s="403">
        <f t="shared" si="8"/>
        <v>27.26724308439999</v>
      </c>
      <c r="BX300" s="403">
        <f t="shared" si="8"/>
        <v>6.4655691430037798</v>
      </c>
      <c r="BY300" s="403">
        <f t="shared" si="8"/>
        <v>11.262357842585294</v>
      </c>
      <c r="BZ300" s="403" t="e">
        <f t="shared" si="8"/>
        <v>#DIV/0!</v>
      </c>
      <c r="CA300" s="403">
        <f t="shared" si="8"/>
        <v>10.980233591504536</v>
      </c>
      <c r="CB300" s="403" t="e">
        <f t="shared" si="8"/>
        <v>#DIV/0!</v>
      </c>
      <c r="CC300" s="403">
        <f t="shared" si="8"/>
        <v>4.7508472650522631</v>
      </c>
      <c r="CD300" s="403">
        <f t="shared" si="8"/>
        <v>11.85145021086152</v>
      </c>
      <c r="CE300" s="403">
        <f t="shared" si="8"/>
        <v>3.9566861821485277</v>
      </c>
      <c r="CF300" s="403">
        <f t="shared" si="8"/>
        <v>1.9188508461235734</v>
      </c>
      <c r="CG300" s="403">
        <f t="shared" si="8"/>
        <v>1.6032421185913597</v>
      </c>
      <c r="CH300" s="403">
        <f t="shared" si="8"/>
        <v>3.187767804998634</v>
      </c>
      <c r="CI300" s="403">
        <f t="shared" si="8"/>
        <v>2.3509013344769127</v>
      </c>
      <c r="CJ300" s="403">
        <f t="shared" si="8"/>
        <v>4.4858188910916414</v>
      </c>
      <c r="CK300" s="403" t="e">
        <f t="shared" si="8"/>
        <v>#DIV/0!</v>
      </c>
      <c r="CL300" s="403">
        <f t="shared" si="8"/>
        <v>13.40783299134624</v>
      </c>
      <c r="CM300" s="403">
        <f t="shared" si="8"/>
        <v>63.492209808748342</v>
      </c>
      <c r="CN300" s="403">
        <f t="shared" si="8"/>
        <v>39.634782713056417</v>
      </c>
      <c r="CO300" s="403">
        <f t="shared" si="8"/>
        <v>6.7364271575278734</v>
      </c>
      <c r="CP300" s="403" t="e">
        <f t="shared" si="8"/>
        <v>#DIV/0!</v>
      </c>
      <c r="CQ300" s="403" t="e">
        <f t="shared" si="8"/>
        <v>#DIV/0!</v>
      </c>
    </row>
    <row r="301" spans="1:95" ht="33" customHeight="1" x14ac:dyDescent="0.3">
      <c r="A301" s="416" t="s">
        <v>1097</v>
      </c>
      <c r="B301" s="417"/>
      <c r="C301" s="418" t="s">
        <v>1264</v>
      </c>
      <c r="E301" s="413">
        <f>+E48-E49+E36-E97</f>
        <v>0</v>
      </c>
      <c r="F301" s="413">
        <f t="shared" ref="F301:BQ301" si="9">+F48-F49+F36-F97</f>
        <v>0</v>
      </c>
      <c r="G301" s="413">
        <f t="shared" si="9"/>
        <v>101957</v>
      </c>
      <c r="H301" s="413">
        <f t="shared" si="9"/>
        <v>-316439</v>
      </c>
      <c r="I301" s="413">
        <f t="shared" si="9"/>
        <v>249835</v>
      </c>
      <c r="J301" s="413">
        <f t="shared" si="9"/>
        <v>-8289</v>
      </c>
      <c r="K301" s="413">
        <f t="shared" si="9"/>
        <v>2423404</v>
      </c>
      <c r="L301" s="413">
        <f t="shared" si="9"/>
        <v>74276</v>
      </c>
      <c r="M301" s="413">
        <f t="shared" si="9"/>
        <v>0</v>
      </c>
      <c r="N301" s="413">
        <f t="shared" si="9"/>
        <v>37173</v>
      </c>
      <c r="O301" s="413">
        <f t="shared" si="9"/>
        <v>26197</v>
      </c>
      <c r="P301" s="413">
        <f t="shared" si="9"/>
        <v>0</v>
      </c>
      <c r="Q301" s="413">
        <f t="shared" si="9"/>
        <v>-2508</v>
      </c>
      <c r="R301" s="413">
        <f t="shared" si="9"/>
        <v>0</v>
      </c>
      <c r="S301" s="413">
        <f t="shared" si="9"/>
        <v>0</v>
      </c>
      <c r="T301" s="413">
        <f t="shared" si="9"/>
        <v>0</v>
      </c>
      <c r="U301" s="413">
        <f t="shared" si="9"/>
        <v>2036236</v>
      </c>
      <c r="V301" s="413">
        <f t="shared" si="9"/>
        <v>0</v>
      </c>
      <c r="W301" s="413">
        <f t="shared" si="9"/>
        <v>79950</v>
      </c>
      <c r="X301" s="413">
        <f t="shared" si="9"/>
        <v>0</v>
      </c>
      <c r="Y301" s="413">
        <f t="shared" si="9"/>
        <v>40039</v>
      </c>
      <c r="Z301" s="413">
        <f t="shared" si="9"/>
        <v>0</v>
      </c>
      <c r="AA301" s="413">
        <f t="shared" si="9"/>
        <v>574266</v>
      </c>
      <c r="AB301" s="413">
        <f t="shared" si="9"/>
        <v>242363</v>
      </c>
      <c r="AC301" s="413">
        <f t="shared" si="9"/>
        <v>-153933</v>
      </c>
      <c r="AD301" s="413">
        <f t="shared" si="9"/>
        <v>19917</v>
      </c>
      <c r="AE301" s="413">
        <f t="shared" si="9"/>
        <v>2492590</v>
      </c>
      <c r="AF301" s="413">
        <f t="shared" si="9"/>
        <v>0</v>
      </c>
      <c r="AG301" s="413">
        <f t="shared" si="9"/>
        <v>59841</v>
      </c>
      <c r="AH301" s="413">
        <f t="shared" si="9"/>
        <v>0</v>
      </c>
      <c r="AI301" s="413">
        <f t="shared" si="9"/>
        <v>-12568</v>
      </c>
      <c r="AJ301" s="413">
        <f t="shared" si="9"/>
        <v>-774940</v>
      </c>
      <c r="AK301" s="413">
        <f t="shared" si="9"/>
        <v>306372</v>
      </c>
      <c r="AL301" s="413">
        <f t="shared" si="9"/>
        <v>43883</v>
      </c>
      <c r="AM301" s="413">
        <f t="shared" si="9"/>
        <v>0</v>
      </c>
      <c r="AN301" s="413">
        <f t="shared" si="9"/>
        <v>17417</v>
      </c>
      <c r="AO301" s="413">
        <f t="shared" si="9"/>
        <v>0</v>
      </c>
      <c r="AP301" s="413">
        <f t="shared" si="9"/>
        <v>834334</v>
      </c>
      <c r="AQ301" s="413">
        <f t="shared" si="9"/>
        <v>-84638</v>
      </c>
      <c r="AR301" s="413">
        <f t="shared" si="9"/>
        <v>0</v>
      </c>
      <c r="AS301" s="413">
        <f t="shared" si="9"/>
        <v>0</v>
      </c>
      <c r="AT301" s="413">
        <f t="shared" si="9"/>
        <v>0</v>
      </c>
      <c r="AU301" s="413">
        <f t="shared" si="9"/>
        <v>0</v>
      </c>
      <c r="AV301" s="413">
        <f t="shared" si="9"/>
        <v>-26522</v>
      </c>
      <c r="AW301" s="413">
        <f t="shared" si="9"/>
        <v>230426</v>
      </c>
      <c r="AX301" s="413">
        <f t="shared" si="9"/>
        <v>17208</v>
      </c>
      <c r="AY301" s="413">
        <f t="shared" si="9"/>
        <v>0</v>
      </c>
      <c r="AZ301" s="413">
        <f t="shared" si="9"/>
        <v>0</v>
      </c>
      <c r="BA301" s="413">
        <f t="shared" si="9"/>
        <v>268459</v>
      </c>
      <c r="BB301" s="413">
        <f t="shared" si="9"/>
        <v>0</v>
      </c>
      <c r="BC301" s="413">
        <f t="shared" si="9"/>
        <v>62782</v>
      </c>
      <c r="BD301" s="413">
        <f t="shared" si="9"/>
        <v>24682</v>
      </c>
      <c r="BE301" s="413">
        <f t="shared" si="9"/>
        <v>17313</v>
      </c>
      <c r="BF301" s="413">
        <f t="shared" si="9"/>
        <v>-134711</v>
      </c>
      <c r="BG301" s="413">
        <f t="shared" si="9"/>
        <v>252375</v>
      </c>
      <c r="BH301" s="413">
        <f t="shared" si="9"/>
        <v>1416723</v>
      </c>
      <c r="BI301" s="413">
        <f t="shared" si="9"/>
        <v>0</v>
      </c>
      <c r="BJ301" s="413">
        <f t="shared" si="9"/>
        <v>0</v>
      </c>
      <c r="BK301" s="413">
        <f t="shared" si="9"/>
        <v>0</v>
      </c>
      <c r="BL301" s="413">
        <f t="shared" si="9"/>
        <v>802108</v>
      </c>
      <c r="BM301" s="413">
        <f t="shared" si="9"/>
        <v>659043</v>
      </c>
      <c r="BN301" s="413">
        <f t="shared" si="9"/>
        <v>0</v>
      </c>
      <c r="BO301" s="413">
        <f t="shared" si="9"/>
        <v>0</v>
      </c>
      <c r="BP301" s="413">
        <f t="shared" si="9"/>
        <v>271393</v>
      </c>
      <c r="BQ301" s="413">
        <f t="shared" si="9"/>
        <v>0</v>
      </c>
      <c r="BR301" s="413">
        <f t="shared" ref="BR301:BS301" si="10">+BR48-BR49+BR36-BR97</f>
        <v>0</v>
      </c>
      <c r="BS301" s="413">
        <f t="shared" si="10"/>
        <v>0</v>
      </c>
      <c r="BT301" s="413">
        <f t="shared" ref="BT301:CQ301" si="11">+BT48-BT49+BT36-BT97</f>
        <v>149880</v>
      </c>
      <c r="BU301" s="413">
        <f t="shared" si="11"/>
        <v>0</v>
      </c>
      <c r="BV301" s="413">
        <f t="shared" si="11"/>
        <v>-44302</v>
      </c>
      <c r="BW301" s="413">
        <f t="shared" si="11"/>
        <v>349408</v>
      </c>
      <c r="BX301" s="413">
        <f t="shared" si="11"/>
        <v>215893</v>
      </c>
      <c r="BY301" s="413">
        <f t="shared" si="11"/>
        <v>5130</v>
      </c>
      <c r="BZ301" s="413">
        <f t="shared" si="11"/>
        <v>0</v>
      </c>
      <c r="CA301" s="413">
        <f t="shared" si="11"/>
        <v>324344</v>
      </c>
      <c r="CB301" s="413">
        <f t="shared" si="11"/>
        <v>0</v>
      </c>
      <c r="CC301" s="413">
        <f t="shared" si="11"/>
        <v>6454358</v>
      </c>
      <c r="CD301" s="413">
        <f t="shared" si="11"/>
        <v>-68828</v>
      </c>
      <c r="CE301" s="413">
        <f t="shared" si="11"/>
        <v>65115</v>
      </c>
      <c r="CF301" s="413">
        <f t="shared" si="11"/>
        <v>26544</v>
      </c>
      <c r="CG301" s="413">
        <f t="shared" si="11"/>
        <v>43397</v>
      </c>
      <c r="CH301" s="413">
        <f t="shared" si="11"/>
        <v>40094869</v>
      </c>
      <c r="CI301" s="413">
        <f t="shared" si="11"/>
        <v>466035</v>
      </c>
      <c r="CJ301" s="413">
        <f t="shared" si="11"/>
        <v>143863</v>
      </c>
      <c r="CK301" s="413">
        <f t="shared" si="11"/>
        <v>0</v>
      </c>
      <c r="CL301" s="413">
        <f t="shared" si="11"/>
        <v>77998</v>
      </c>
      <c r="CM301" s="413">
        <f t="shared" si="11"/>
        <v>1074578</v>
      </c>
      <c r="CN301" s="413">
        <f t="shared" si="11"/>
        <v>651340</v>
      </c>
      <c r="CO301" s="413">
        <f t="shared" si="11"/>
        <v>334742</v>
      </c>
      <c r="CP301" s="413">
        <f t="shared" si="11"/>
        <v>0</v>
      </c>
      <c r="CQ301" s="413">
        <f t="shared" si="11"/>
        <v>0</v>
      </c>
    </row>
    <row r="302" spans="1:95" ht="39" customHeight="1" x14ac:dyDescent="0.3">
      <c r="A302" s="419" t="s">
        <v>1096</v>
      </c>
      <c r="B302" s="417"/>
      <c r="C302" s="418" t="s">
        <v>1098</v>
      </c>
      <c r="E302" s="420" t="e">
        <f>+E44/(E49+E115+E97-E36)</f>
        <v>#DIV/0!</v>
      </c>
      <c r="F302" s="420" t="e">
        <f t="shared" ref="F302:BQ302" si="12">+F44/(F49+F115+F97-F36)</f>
        <v>#DIV/0!</v>
      </c>
      <c r="G302" s="420">
        <f t="shared" si="12"/>
        <v>1.519419095564873</v>
      </c>
      <c r="H302" s="420">
        <f t="shared" si="12"/>
        <v>0.36741426810921868</v>
      </c>
      <c r="I302" s="420">
        <f t="shared" si="12"/>
        <v>2.9941192430733894</v>
      </c>
      <c r="J302" s="420">
        <f t="shared" si="12"/>
        <v>0.22670352312960707</v>
      </c>
      <c r="K302" s="420">
        <f t="shared" si="12"/>
        <v>1.748876702669848</v>
      </c>
      <c r="L302" s="420">
        <f t="shared" si="12"/>
        <v>1.1020510881892316</v>
      </c>
      <c r="M302" s="420" t="e">
        <f t="shared" si="12"/>
        <v>#DIV/0!</v>
      </c>
      <c r="N302" s="420">
        <f t="shared" si="12"/>
        <v>3.1362211872254431</v>
      </c>
      <c r="O302" s="420">
        <f t="shared" si="12"/>
        <v>0.30102377190909202</v>
      </c>
      <c r="P302" s="420" t="e">
        <f t="shared" si="12"/>
        <v>#DIV/0!</v>
      </c>
      <c r="Q302" s="420">
        <f t="shared" si="12"/>
        <v>0.13412334653599964</v>
      </c>
      <c r="R302" s="420" t="e">
        <f t="shared" si="12"/>
        <v>#DIV/0!</v>
      </c>
      <c r="S302" s="420" t="e">
        <f t="shared" si="12"/>
        <v>#DIV/0!</v>
      </c>
      <c r="T302" s="420" t="e">
        <f t="shared" si="12"/>
        <v>#DIV/0!</v>
      </c>
      <c r="U302" s="420">
        <f t="shared" si="12"/>
        <v>1.0936044445894273</v>
      </c>
      <c r="V302" s="420" t="e">
        <f t="shared" si="12"/>
        <v>#DIV/0!</v>
      </c>
      <c r="W302" s="420">
        <f t="shared" si="12"/>
        <v>2.4185443032047886</v>
      </c>
      <c r="X302" s="420" t="e">
        <f t="shared" si="12"/>
        <v>#DIV/0!</v>
      </c>
      <c r="Y302" s="420">
        <f t="shared" si="12"/>
        <v>1.3563222802835522</v>
      </c>
      <c r="Z302" s="420" t="e">
        <f t="shared" si="12"/>
        <v>#DIV/0!</v>
      </c>
      <c r="AA302" s="420">
        <f t="shared" si="12"/>
        <v>0.59334704577157726</v>
      </c>
      <c r="AB302" s="420">
        <f t="shared" si="12"/>
        <v>0.79051488287912708</v>
      </c>
      <c r="AC302" s="420">
        <f t="shared" si="12"/>
        <v>0.25751519415767959</v>
      </c>
      <c r="AD302" s="420">
        <f t="shared" si="12"/>
        <v>0.87986503938733984</v>
      </c>
      <c r="AE302" s="420">
        <f t="shared" si="12"/>
        <v>0.74667494065611062</v>
      </c>
      <c r="AF302" s="420" t="e">
        <f t="shared" si="12"/>
        <v>#DIV/0!</v>
      </c>
      <c r="AG302" s="420">
        <f t="shared" si="12"/>
        <v>2.2483807388091321</v>
      </c>
      <c r="AH302" s="420" t="e">
        <f t="shared" si="12"/>
        <v>#DIV/0!</v>
      </c>
      <c r="AI302" s="420">
        <f t="shared" si="12"/>
        <v>3.7386247006500173</v>
      </c>
      <c r="AJ302" s="420">
        <f t="shared" si="12"/>
        <v>0.72383530314903965</v>
      </c>
      <c r="AK302" s="420">
        <f t="shared" si="12"/>
        <v>0.33234202325884404</v>
      </c>
      <c r="AL302" s="420">
        <f t="shared" si="12"/>
        <v>0.35625793725850469</v>
      </c>
      <c r="AM302" s="420" t="e">
        <f t="shared" si="12"/>
        <v>#DIV/0!</v>
      </c>
      <c r="AN302" s="420">
        <f t="shared" si="12"/>
        <v>1.4161528662420382</v>
      </c>
      <c r="AO302" s="420" t="e">
        <f t="shared" si="12"/>
        <v>#DIV/0!</v>
      </c>
      <c r="AP302" s="420">
        <f t="shared" si="12"/>
        <v>0.1866541882692021</v>
      </c>
      <c r="AQ302" s="420">
        <f t="shared" si="12"/>
        <v>0.81099729529407172</v>
      </c>
      <c r="AR302" s="420" t="e">
        <f t="shared" si="12"/>
        <v>#DIV/0!</v>
      </c>
      <c r="AS302" s="420" t="e">
        <f t="shared" si="12"/>
        <v>#DIV/0!</v>
      </c>
      <c r="AT302" s="420" t="e">
        <f t="shared" si="12"/>
        <v>#DIV/0!</v>
      </c>
      <c r="AU302" s="420" t="e">
        <f t="shared" si="12"/>
        <v>#DIV/0!</v>
      </c>
      <c r="AV302" s="420">
        <f t="shared" si="12"/>
        <v>1.8424157404409913</v>
      </c>
      <c r="AW302" s="420">
        <f t="shared" si="12"/>
        <v>0.93486102889944445</v>
      </c>
      <c r="AX302" s="420">
        <f t="shared" si="12"/>
        <v>1.7309893518602499</v>
      </c>
      <c r="AY302" s="420" t="e">
        <f t="shared" si="12"/>
        <v>#DIV/0!</v>
      </c>
      <c r="AZ302" s="420">
        <f t="shared" si="12"/>
        <v>0</v>
      </c>
      <c r="BA302" s="420">
        <f t="shared" si="12"/>
        <v>0.71393131710537894</v>
      </c>
      <c r="BB302" s="420" t="e">
        <f t="shared" si="12"/>
        <v>#DIV/0!</v>
      </c>
      <c r="BC302" s="420">
        <f t="shared" si="12"/>
        <v>1.656996748157856</v>
      </c>
      <c r="BD302" s="420">
        <f t="shared" si="12"/>
        <v>2.5396176509170543</v>
      </c>
      <c r="BE302" s="420">
        <f t="shared" si="12"/>
        <v>0.68812899868730704</v>
      </c>
      <c r="BF302" s="420">
        <f t="shared" si="12"/>
        <v>0.33233636230506319</v>
      </c>
      <c r="BG302" s="420">
        <f t="shared" si="12"/>
        <v>1.6300958586320728</v>
      </c>
      <c r="BH302" s="420">
        <f t="shared" si="12"/>
        <v>1.2764111345078752</v>
      </c>
      <c r="BI302" s="420" t="e">
        <f t="shared" si="12"/>
        <v>#DIV/0!</v>
      </c>
      <c r="BJ302" s="420" t="e">
        <f t="shared" si="12"/>
        <v>#DIV/0!</v>
      </c>
      <c r="BK302" s="420" t="e">
        <f t="shared" si="12"/>
        <v>#DIV/0!</v>
      </c>
      <c r="BL302" s="420">
        <f t="shared" si="12"/>
        <v>0.8542931758768052</v>
      </c>
      <c r="BM302" s="420">
        <f t="shared" si="12"/>
        <v>1.9657963378387147</v>
      </c>
      <c r="BN302" s="420" t="e">
        <f t="shared" si="12"/>
        <v>#DIV/0!</v>
      </c>
      <c r="BO302" s="420" t="e">
        <f t="shared" si="12"/>
        <v>#DIV/0!</v>
      </c>
      <c r="BP302" s="420">
        <f t="shared" si="12"/>
        <v>1.2814186696266958</v>
      </c>
      <c r="BQ302" s="420" t="e">
        <f t="shared" si="12"/>
        <v>#DIV/0!</v>
      </c>
      <c r="BR302" s="420" t="e">
        <f t="shared" ref="BR302:BS302" si="13">+BR44/(BR49+BR115+BR97-BR36)</f>
        <v>#DIV/0!</v>
      </c>
      <c r="BS302" s="420" t="e">
        <f t="shared" si="13"/>
        <v>#DIV/0!</v>
      </c>
      <c r="BT302" s="420">
        <f t="shared" ref="BT302:CQ302" si="14">+BT44/(BT49+BT115+BT97-BT36)</f>
        <v>1.3643500214036046</v>
      </c>
      <c r="BU302" s="420" t="e">
        <f t="shared" si="14"/>
        <v>#DIV/0!</v>
      </c>
      <c r="BV302" s="420">
        <f t="shared" si="14"/>
        <v>0.48791676666920331</v>
      </c>
      <c r="BW302" s="420">
        <f t="shared" si="14"/>
        <v>1.5640572246771294</v>
      </c>
      <c r="BX302" s="420">
        <f t="shared" si="14"/>
        <v>0.98507240983915911</v>
      </c>
      <c r="BY302" s="420">
        <f t="shared" si="14"/>
        <v>6.2331858690773867</v>
      </c>
      <c r="BZ302" s="420" t="e">
        <f t="shared" si="14"/>
        <v>#DIV/0!</v>
      </c>
      <c r="CA302" s="420">
        <f t="shared" si="14"/>
        <v>1.888472049418785</v>
      </c>
      <c r="CB302" s="420" t="e">
        <f t="shared" si="14"/>
        <v>#DIV/0!</v>
      </c>
      <c r="CC302" s="420">
        <f t="shared" si="14"/>
        <v>0.89019149058804448</v>
      </c>
      <c r="CD302" s="420">
        <f t="shared" si="14"/>
        <v>7.2860957510382227E-2</v>
      </c>
      <c r="CE302" s="420">
        <f t="shared" si="14"/>
        <v>1.2946918663711118</v>
      </c>
      <c r="CF302" s="420">
        <f t="shared" si="14"/>
        <v>0.28115798401006281</v>
      </c>
      <c r="CG302" s="420">
        <f t="shared" si="14"/>
        <v>0.379784959916112</v>
      </c>
      <c r="CH302" s="420">
        <f t="shared" si="14"/>
        <v>0.77540809600902627</v>
      </c>
      <c r="CI302" s="420">
        <f t="shared" si="14"/>
        <v>0.33400511887043516</v>
      </c>
      <c r="CJ302" s="420">
        <f t="shared" si="14"/>
        <v>2.0906178719978534</v>
      </c>
      <c r="CK302" s="420" t="e">
        <f t="shared" si="14"/>
        <v>#DIV/0!</v>
      </c>
      <c r="CL302" s="420">
        <f t="shared" si="14"/>
        <v>2.4516069638509852</v>
      </c>
      <c r="CM302" s="420">
        <f t="shared" si="14"/>
        <v>3.1234492660679747</v>
      </c>
      <c r="CN302" s="420">
        <f t="shared" si="14"/>
        <v>1.5125888407130941</v>
      </c>
      <c r="CO302" s="420">
        <f t="shared" si="14"/>
        <v>1.1749190750475234</v>
      </c>
      <c r="CP302" s="420" t="e">
        <f t="shared" si="14"/>
        <v>#DIV/0!</v>
      </c>
      <c r="CQ302" s="420" t="e">
        <f t="shared" si="14"/>
        <v>#DIV/0!</v>
      </c>
    </row>
    <row r="303" spans="1:95" x14ac:dyDescent="0.3">
      <c r="A303" s="421" t="s">
        <v>1094</v>
      </c>
      <c r="C303" s="418" t="s">
        <v>1103</v>
      </c>
      <c r="E303" s="298" t="e">
        <f>+(E34-E161)/E35</f>
        <v>#DIV/0!</v>
      </c>
      <c r="F303" s="298" t="e">
        <f t="shared" ref="F303:BQ303" si="15">+(F34-F161)/F35</f>
        <v>#DIV/0!</v>
      </c>
      <c r="G303" s="298" t="e">
        <f t="shared" si="15"/>
        <v>#DIV/0!</v>
      </c>
      <c r="H303" s="298" t="e">
        <f t="shared" si="15"/>
        <v>#DIV/0!</v>
      </c>
      <c r="I303" s="298">
        <f t="shared" si="15"/>
        <v>29.954978871945617</v>
      </c>
      <c r="J303" s="298" t="e">
        <f t="shared" si="15"/>
        <v>#DIV/0!</v>
      </c>
      <c r="K303" s="298">
        <f t="shared" si="15"/>
        <v>9.0018699469653463</v>
      </c>
      <c r="L303" s="298" t="e">
        <f t="shared" si="15"/>
        <v>#DIV/0!</v>
      </c>
      <c r="M303" s="298" t="e">
        <f t="shared" si="15"/>
        <v>#DIV/0!</v>
      </c>
      <c r="N303" s="298" t="e">
        <f t="shared" si="15"/>
        <v>#DIV/0!</v>
      </c>
      <c r="O303" s="298" t="e">
        <f t="shared" si="15"/>
        <v>#DIV/0!</v>
      </c>
      <c r="P303" s="298" t="e">
        <f t="shared" si="15"/>
        <v>#DIV/0!</v>
      </c>
      <c r="Q303" s="298" t="e">
        <f t="shared" si="15"/>
        <v>#DIV/0!</v>
      </c>
      <c r="R303" s="298" t="e">
        <f t="shared" si="15"/>
        <v>#DIV/0!</v>
      </c>
      <c r="S303" s="298" t="e">
        <f t="shared" si="15"/>
        <v>#DIV/0!</v>
      </c>
      <c r="T303" s="298" t="e">
        <f t="shared" si="15"/>
        <v>#DIV/0!</v>
      </c>
      <c r="U303" s="298" t="e">
        <f t="shared" si="15"/>
        <v>#DIV/0!</v>
      </c>
      <c r="V303" s="298" t="e">
        <f t="shared" si="15"/>
        <v>#DIV/0!</v>
      </c>
      <c r="W303" s="298" t="e">
        <f t="shared" si="15"/>
        <v>#DIV/0!</v>
      </c>
      <c r="X303" s="298" t="e">
        <f t="shared" si="15"/>
        <v>#DIV/0!</v>
      </c>
      <c r="Y303" s="298" t="e">
        <f t="shared" si="15"/>
        <v>#DIV/0!</v>
      </c>
      <c r="Z303" s="298" t="e">
        <f t="shared" si="15"/>
        <v>#DIV/0!</v>
      </c>
      <c r="AA303" s="298">
        <f t="shared" si="15"/>
        <v>9.689110558504602</v>
      </c>
      <c r="AB303" s="298" t="e">
        <f t="shared" si="15"/>
        <v>#DIV/0!</v>
      </c>
      <c r="AC303" s="298" t="e">
        <f t="shared" si="15"/>
        <v>#DIV/0!</v>
      </c>
      <c r="AD303" s="298" t="e">
        <f t="shared" si="15"/>
        <v>#DIV/0!</v>
      </c>
      <c r="AE303" s="298" t="e">
        <f t="shared" si="15"/>
        <v>#DIV/0!</v>
      </c>
      <c r="AF303" s="298" t="e">
        <f t="shared" si="15"/>
        <v>#DIV/0!</v>
      </c>
      <c r="AG303" s="298" t="e">
        <f t="shared" si="15"/>
        <v>#DIV/0!</v>
      </c>
      <c r="AH303" s="298" t="e">
        <f t="shared" si="15"/>
        <v>#DIV/0!</v>
      </c>
      <c r="AI303" s="298" t="e">
        <f t="shared" si="15"/>
        <v>#DIV/0!</v>
      </c>
      <c r="AJ303" s="298" t="e">
        <f t="shared" si="15"/>
        <v>#DIV/0!</v>
      </c>
      <c r="AK303" s="298" t="e">
        <f t="shared" si="15"/>
        <v>#DIV/0!</v>
      </c>
      <c r="AL303" s="298" t="e">
        <f t="shared" si="15"/>
        <v>#DIV/0!</v>
      </c>
      <c r="AM303" s="298" t="e">
        <f t="shared" si="15"/>
        <v>#DIV/0!</v>
      </c>
      <c r="AN303" s="298" t="e">
        <f t="shared" si="15"/>
        <v>#DIV/0!</v>
      </c>
      <c r="AO303" s="298" t="e">
        <f t="shared" si="15"/>
        <v>#DIV/0!</v>
      </c>
      <c r="AP303" s="298" t="e">
        <f t="shared" si="15"/>
        <v>#DIV/0!</v>
      </c>
      <c r="AQ303" s="298" t="e">
        <f t="shared" si="15"/>
        <v>#DIV/0!</v>
      </c>
      <c r="AR303" s="298" t="e">
        <f t="shared" si="15"/>
        <v>#DIV/0!</v>
      </c>
      <c r="AS303" s="298" t="e">
        <f t="shared" si="15"/>
        <v>#DIV/0!</v>
      </c>
      <c r="AT303" s="298" t="e">
        <f t="shared" si="15"/>
        <v>#DIV/0!</v>
      </c>
      <c r="AU303" s="298" t="e">
        <f t="shared" si="15"/>
        <v>#DIV/0!</v>
      </c>
      <c r="AV303" s="298" t="e">
        <f t="shared" si="15"/>
        <v>#DIV/0!</v>
      </c>
      <c r="AW303" s="298" t="e">
        <f t="shared" si="15"/>
        <v>#DIV/0!</v>
      </c>
      <c r="AX303" s="298" t="e">
        <f t="shared" si="15"/>
        <v>#DIV/0!</v>
      </c>
      <c r="AY303" s="298">
        <f t="shared" si="15"/>
        <v>2.7395493197828391</v>
      </c>
      <c r="AZ303" s="298" t="e">
        <f t="shared" si="15"/>
        <v>#DIV/0!</v>
      </c>
      <c r="BA303" s="298" t="e">
        <f t="shared" si="15"/>
        <v>#DIV/0!</v>
      </c>
      <c r="BB303" s="298" t="e">
        <f t="shared" si="15"/>
        <v>#DIV/0!</v>
      </c>
      <c r="BC303" s="298" t="e">
        <f t="shared" si="15"/>
        <v>#DIV/0!</v>
      </c>
      <c r="BD303" s="298" t="e">
        <f t="shared" si="15"/>
        <v>#DIV/0!</v>
      </c>
      <c r="BE303" s="298">
        <f t="shared" si="15"/>
        <v>12.846285423697472</v>
      </c>
      <c r="BF303" s="298" t="e">
        <f t="shared" si="15"/>
        <v>#DIV/0!</v>
      </c>
      <c r="BG303" s="298" t="e">
        <f t="shared" si="15"/>
        <v>#DIV/0!</v>
      </c>
      <c r="BH303" s="298">
        <f t="shared" si="15"/>
        <v>7.3547375552588159</v>
      </c>
      <c r="BI303" s="298" t="e">
        <f t="shared" si="15"/>
        <v>#DIV/0!</v>
      </c>
      <c r="BJ303" s="298" t="e">
        <f t="shared" si="15"/>
        <v>#DIV/0!</v>
      </c>
      <c r="BK303" s="298" t="e">
        <f t="shared" si="15"/>
        <v>#DIV/0!</v>
      </c>
      <c r="BL303" s="298">
        <f t="shared" si="15"/>
        <v>5.2606156689428767</v>
      </c>
      <c r="BM303" s="298" t="e">
        <f t="shared" si="15"/>
        <v>#DIV/0!</v>
      </c>
      <c r="BN303" s="298" t="e">
        <f t="shared" si="15"/>
        <v>#DIV/0!</v>
      </c>
      <c r="BO303" s="298" t="e">
        <f t="shared" si="15"/>
        <v>#DIV/0!</v>
      </c>
      <c r="BP303" s="298" t="e">
        <f t="shared" si="15"/>
        <v>#DIV/0!</v>
      </c>
      <c r="BQ303" s="298" t="e">
        <f t="shared" si="15"/>
        <v>#DIV/0!</v>
      </c>
      <c r="BR303" s="298" t="e">
        <f t="shared" ref="BR303:BS303" si="16">+(BR34-BR161)/BR35</f>
        <v>#DIV/0!</v>
      </c>
      <c r="BS303" s="298" t="e">
        <f t="shared" si="16"/>
        <v>#DIV/0!</v>
      </c>
      <c r="BT303" s="298" t="e">
        <f t="shared" ref="BT303:CQ303" si="17">+(BT34-BT161)/BT35</f>
        <v>#DIV/0!</v>
      </c>
      <c r="BU303" s="298" t="e">
        <f t="shared" si="17"/>
        <v>#DIV/0!</v>
      </c>
      <c r="BV303" s="298" t="e">
        <f t="shared" si="17"/>
        <v>#DIV/0!</v>
      </c>
      <c r="BW303" s="298" t="e">
        <f t="shared" si="17"/>
        <v>#DIV/0!</v>
      </c>
      <c r="BX303" s="298" t="e">
        <f t="shared" si="17"/>
        <v>#DIV/0!</v>
      </c>
      <c r="BY303" s="298" t="e">
        <f t="shared" si="17"/>
        <v>#DIV/0!</v>
      </c>
      <c r="BZ303" s="298" t="e">
        <f t="shared" si="17"/>
        <v>#DIV/0!</v>
      </c>
      <c r="CA303" s="298" t="e">
        <f t="shared" si="17"/>
        <v>#DIV/0!</v>
      </c>
      <c r="CB303" s="298" t="e">
        <f t="shared" si="17"/>
        <v>#DIV/0!</v>
      </c>
      <c r="CC303" s="298">
        <f t="shared" si="17"/>
        <v>4.0068407888795967</v>
      </c>
      <c r="CD303" s="298" t="e">
        <f t="shared" si="17"/>
        <v>#DIV/0!</v>
      </c>
      <c r="CE303" s="298">
        <f t="shared" si="17"/>
        <v>4.772409912047495</v>
      </c>
      <c r="CF303" s="298" t="e">
        <f t="shared" si="17"/>
        <v>#DIV/0!</v>
      </c>
      <c r="CG303" s="298" t="e">
        <f t="shared" si="17"/>
        <v>#DIV/0!</v>
      </c>
      <c r="CH303" s="298" t="e">
        <f t="shared" si="17"/>
        <v>#DIV/0!</v>
      </c>
      <c r="CI303" s="298">
        <f t="shared" si="17"/>
        <v>14.160527843994039</v>
      </c>
      <c r="CJ303" s="298" t="e">
        <f t="shared" si="17"/>
        <v>#DIV/0!</v>
      </c>
      <c r="CK303" s="298" t="e">
        <f t="shared" si="17"/>
        <v>#DIV/0!</v>
      </c>
      <c r="CL303" s="298" t="e">
        <f t="shared" si="17"/>
        <v>#DIV/0!</v>
      </c>
      <c r="CM303" s="298" t="e">
        <f t="shared" si="17"/>
        <v>#DIV/0!</v>
      </c>
      <c r="CN303" s="298" t="e">
        <f t="shared" si="17"/>
        <v>#DIV/0!</v>
      </c>
      <c r="CO303" s="298" t="e">
        <f t="shared" si="17"/>
        <v>#DIV/0!</v>
      </c>
      <c r="CP303" s="298" t="e">
        <f t="shared" si="17"/>
        <v>#DIV/0!</v>
      </c>
      <c r="CQ303" s="298" t="e">
        <f t="shared" si="17"/>
        <v>#DIV/0!</v>
      </c>
    </row>
    <row r="304" spans="1:95" x14ac:dyDescent="0.3">
      <c r="A304" s="422" t="s">
        <v>1089</v>
      </c>
      <c r="C304" s="418" t="s">
        <v>1265</v>
      </c>
      <c r="E304" s="413">
        <f>+E55-E56+E39-E60</f>
        <v>0</v>
      </c>
      <c r="F304" s="413">
        <f t="shared" ref="F304:BQ304" si="18">+F55-F56+F39-F60</f>
        <v>0</v>
      </c>
      <c r="G304" s="413">
        <f t="shared" si="18"/>
        <v>0</v>
      </c>
      <c r="H304" s="413">
        <f t="shared" si="18"/>
        <v>0</v>
      </c>
      <c r="I304" s="413">
        <f t="shared" si="18"/>
        <v>596343</v>
      </c>
      <c r="J304" s="413">
        <f t="shared" si="18"/>
        <v>0</v>
      </c>
      <c r="K304" s="413">
        <f t="shared" si="18"/>
        <v>9619123</v>
      </c>
      <c r="L304" s="413">
        <f t="shared" si="18"/>
        <v>0</v>
      </c>
      <c r="M304" s="413">
        <f t="shared" si="18"/>
        <v>0</v>
      </c>
      <c r="N304" s="413">
        <f t="shared" si="18"/>
        <v>0</v>
      </c>
      <c r="O304" s="413">
        <f t="shared" si="18"/>
        <v>0</v>
      </c>
      <c r="P304" s="413">
        <f t="shared" si="18"/>
        <v>0</v>
      </c>
      <c r="Q304" s="413">
        <f t="shared" si="18"/>
        <v>0</v>
      </c>
      <c r="R304" s="413">
        <f t="shared" si="18"/>
        <v>0</v>
      </c>
      <c r="S304" s="413">
        <f t="shared" si="18"/>
        <v>0</v>
      </c>
      <c r="T304" s="413">
        <f t="shared" si="18"/>
        <v>0</v>
      </c>
      <c r="U304" s="413">
        <f t="shared" si="18"/>
        <v>0</v>
      </c>
      <c r="V304" s="413">
        <f t="shared" si="18"/>
        <v>0</v>
      </c>
      <c r="W304" s="413">
        <f t="shared" si="18"/>
        <v>0</v>
      </c>
      <c r="X304" s="413">
        <f t="shared" si="18"/>
        <v>0</v>
      </c>
      <c r="Y304" s="413">
        <f t="shared" si="18"/>
        <v>0</v>
      </c>
      <c r="Z304" s="413">
        <f t="shared" si="18"/>
        <v>0</v>
      </c>
      <c r="AA304" s="413">
        <f t="shared" si="18"/>
        <v>1317724</v>
      </c>
      <c r="AB304" s="413">
        <f t="shared" si="18"/>
        <v>0</v>
      </c>
      <c r="AC304" s="413">
        <f t="shared" si="18"/>
        <v>0</v>
      </c>
      <c r="AD304" s="413">
        <f t="shared" si="18"/>
        <v>0</v>
      </c>
      <c r="AE304" s="413">
        <f t="shared" si="18"/>
        <v>0</v>
      </c>
      <c r="AF304" s="413">
        <f t="shared" si="18"/>
        <v>0</v>
      </c>
      <c r="AG304" s="413">
        <f t="shared" si="18"/>
        <v>0</v>
      </c>
      <c r="AH304" s="413">
        <f t="shared" si="18"/>
        <v>0</v>
      </c>
      <c r="AI304" s="413">
        <f t="shared" si="18"/>
        <v>0</v>
      </c>
      <c r="AJ304" s="413">
        <f t="shared" si="18"/>
        <v>0</v>
      </c>
      <c r="AK304" s="413">
        <f t="shared" si="18"/>
        <v>0</v>
      </c>
      <c r="AL304" s="413">
        <f t="shared" si="18"/>
        <v>0</v>
      </c>
      <c r="AM304" s="413">
        <f t="shared" si="18"/>
        <v>0</v>
      </c>
      <c r="AN304" s="413">
        <f t="shared" si="18"/>
        <v>0</v>
      </c>
      <c r="AO304" s="413">
        <f t="shared" si="18"/>
        <v>0</v>
      </c>
      <c r="AP304" s="413">
        <f t="shared" si="18"/>
        <v>0</v>
      </c>
      <c r="AQ304" s="413">
        <f t="shared" si="18"/>
        <v>0</v>
      </c>
      <c r="AR304" s="413">
        <f t="shared" si="18"/>
        <v>0</v>
      </c>
      <c r="AS304" s="413">
        <f t="shared" si="18"/>
        <v>0</v>
      </c>
      <c r="AT304" s="413">
        <f t="shared" si="18"/>
        <v>0</v>
      </c>
      <c r="AU304" s="413">
        <f t="shared" si="18"/>
        <v>0</v>
      </c>
      <c r="AV304" s="413">
        <f t="shared" si="18"/>
        <v>0</v>
      </c>
      <c r="AW304" s="413">
        <f t="shared" si="18"/>
        <v>0</v>
      </c>
      <c r="AX304" s="413">
        <f t="shared" si="18"/>
        <v>0</v>
      </c>
      <c r="AY304" s="413">
        <f t="shared" si="18"/>
        <v>1908264</v>
      </c>
      <c r="AZ304" s="413">
        <f t="shared" si="18"/>
        <v>0</v>
      </c>
      <c r="BA304" s="413">
        <f t="shared" si="18"/>
        <v>0</v>
      </c>
      <c r="BB304" s="413">
        <f t="shared" si="18"/>
        <v>0</v>
      </c>
      <c r="BC304" s="413">
        <f t="shared" si="18"/>
        <v>0</v>
      </c>
      <c r="BD304" s="413">
        <f t="shared" si="18"/>
        <v>0</v>
      </c>
      <c r="BE304" s="413">
        <f t="shared" si="18"/>
        <v>55476</v>
      </c>
      <c r="BF304" s="413">
        <f t="shared" si="18"/>
        <v>0</v>
      </c>
      <c r="BG304" s="413">
        <f t="shared" si="18"/>
        <v>0</v>
      </c>
      <c r="BH304" s="413">
        <f t="shared" si="18"/>
        <v>5910747</v>
      </c>
      <c r="BI304" s="413">
        <f t="shared" si="18"/>
        <v>0</v>
      </c>
      <c r="BJ304" s="413">
        <f t="shared" si="18"/>
        <v>0</v>
      </c>
      <c r="BK304" s="413">
        <f t="shared" si="18"/>
        <v>0</v>
      </c>
      <c r="BL304" s="413">
        <f t="shared" si="18"/>
        <v>2090729</v>
      </c>
      <c r="BM304" s="413">
        <f t="shared" si="18"/>
        <v>0</v>
      </c>
      <c r="BN304" s="413">
        <f t="shared" si="18"/>
        <v>0</v>
      </c>
      <c r="BO304" s="413">
        <f t="shared" si="18"/>
        <v>0</v>
      </c>
      <c r="BP304" s="413">
        <f t="shared" si="18"/>
        <v>0</v>
      </c>
      <c r="BQ304" s="413">
        <f t="shared" si="18"/>
        <v>0</v>
      </c>
      <c r="BR304" s="413">
        <f t="shared" ref="BR304:BS304" si="19">+BR55-BR56+BR39-BR60</f>
        <v>0</v>
      </c>
      <c r="BS304" s="413">
        <f t="shared" si="19"/>
        <v>0</v>
      </c>
      <c r="BT304" s="413">
        <f t="shared" ref="BT304:CQ304" si="20">+BT55-BT56+BT39-BT60</f>
        <v>0</v>
      </c>
      <c r="BU304" s="413">
        <f t="shared" si="20"/>
        <v>0</v>
      </c>
      <c r="BV304" s="413">
        <f t="shared" si="20"/>
        <v>0</v>
      </c>
      <c r="BW304" s="413">
        <f t="shared" si="20"/>
        <v>0</v>
      </c>
      <c r="BX304" s="413">
        <f t="shared" si="20"/>
        <v>0</v>
      </c>
      <c r="BY304" s="413">
        <f t="shared" si="20"/>
        <v>0</v>
      </c>
      <c r="BZ304" s="413">
        <f t="shared" si="20"/>
        <v>0</v>
      </c>
      <c r="CA304" s="413">
        <f t="shared" si="20"/>
        <v>0</v>
      </c>
      <c r="CB304" s="413">
        <f t="shared" si="20"/>
        <v>0</v>
      </c>
      <c r="CC304" s="413">
        <f t="shared" si="20"/>
        <v>13826636</v>
      </c>
      <c r="CD304" s="413">
        <f t="shared" si="20"/>
        <v>0</v>
      </c>
      <c r="CE304" s="413">
        <f t="shared" si="20"/>
        <v>1224224</v>
      </c>
      <c r="CF304" s="413">
        <f t="shared" si="20"/>
        <v>0</v>
      </c>
      <c r="CG304" s="413">
        <f t="shared" si="20"/>
        <v>0</v>
      </c>
      <c r="CH304" s="413">
        <f t="shared" si="20"/>
        <v>0</v>
      </c>
      <c r="CI304" s="413">
        <f t="shared" si="20"/>
        <v>949000</v>
      </c>
      <c r="CJ304" s="413">
        <f t="shared" si="20"/>
        <v>0</v>
      </c>
      <c r="CK304" s="413">
        <f t="shared" si="20"/>
        <v>0</v>
      </c>
      <c r="CL304" s="413">
        <f t="shared" si="20"/>
        <v>0</v>
      </c>
      <c r="CM304" s="413">
        <f t="shared" si="20"/>
        <v>0</v>
      </c>
      <c r="CN304" s="413">
        <f t="shared" si="20"/>
        <v>0</v>
      </c>
      <c r="CO304" s="413">
        <f t="shared" si="20"/>
        <v>0</v>
      </c>
      <c r="CP304" s="413">
        <f t="shared" si="20"/>
        <v>0</v>
      </c>
      <c r="CQ304" s="413">
        <f t="shared" si="20"/>
        <v>0</v>
      </c>
    </row>
    <row r="305" spans="1:95" x14ac:dyDescent="0.3">
      <c r="A305" s="422" t="s">
        <v>1091</v>
      </c>
      <c r="C305" s="418" t="s">
        <v>1104</v>
      </c>
      <c r="E305" s="298" t="e">
        <f>+E52/(E125+E56-E39+E60)</f>
        <v>#DIV/0!</v>
      </c>
      <c r="F305" s="298" t="e">
        <f t="shared" ref="F305:BQ305" si="21">+F52/(F125+F56-F39+F60)</f>
        <v>#DIV/0!</v>
      </c>
      <c r="G305" s="298" t="e">
        <f t="shared" si="21"/>
        <v>#DIV/0!</v>
      </c>
      <c r="H305" s="298" t="e">
        <f t="shared" si="21"/>
        <v>#DIV/0!</v>
      </c>
      <c r="I305" s="298">
        <f t="shared" si="21"/>
        <v>1.7451379690300672</v>
      </c>
      <c r="J305" s="298" t="e">
        <f t="shared" si="21"/>
        <v>#DIV/0!</v>
      </c>
      <c r="K305" s="298">
        <f t="shared" si="21"/>
        <v>0.55204807192224248</v>
      </c>
      <c r="L305" s="298" t="e">
        <f t="shared" si="21"/>
        <v>#DIV/0!</v>
      </c>
      <c r="M305" s="298" t="e">
        <f t="shared" si="21"/>
        <v>#DIV/0!</v>
      </c>
      <c r="N305" s="298" t="e">
        <f t="shared" si="21"/>
        <v>#DIV/0!</v>
      </c>
      <c r="O305" s="298" t="e">
        <f t="shared" si="21"/>
        <v>#DIV/0!</v>
      </c>
      <c r="P305" s="298" t="e">
        <f t="shared" si="21"/>
        <v>#DIV/0!</v>
      </c>
      <c r="Q305" s="298" t="e">
        <f t="shared" si="21"/>
        <v>#DIV/0!</v>
      </c>
      <c r="R305" s="298" t="e">
        <f t="shared" si="21"/>
        <v>#DIV/0!</v>
      </c>
      <c r="S305" s="298" t="e">
        <f t="shared" si="21"/>
        <v>#DIV/0!</v>
      </c>
      <c r="T305" s="298" t="e">
        <f t="shared" si="21"/>
        <v>#DIV/0!</v>
      </c>
      <c r="U305" s="298" t="e">
        <f t="shared" si="21"/>
        <v>#DIV/0!</v>
      </c>
      <c r="V305" s="298" t="e">
        <f t="shared" si="21"/>
        <v>#DIV/0!</v>
      </c>
      <c r="W305" s="298" t="e">
        <f t="shared" si="21"/>
        <v>#DIV/0!</v>
      </c>
      <c r="X305" s="298" t="e">
        <f t="shared" si="21"/>
        <v>#DIV/0!</v>
      </c>
      <c r="Y305" s="298" t="e">
        <f t="shared" si="21"/>
        <v>#DIV/0!</v>
      </c>
      <c r="Z305" s="298" t="e">
        <f t="shared" si="21"/>
        <v>#DIV/0!</v>
      </c>
      <c r="AA305" s="298">
        <f t="shared" si="21"/>
        <v>0.5821141981766339</v>
      </c>
      <c r="AB305" s="298" t="e">
        <f t="shared" si="21"/>
        <v>#DIV/0!</v>
      </c>
      <c r="AC305" s="298" t="e">
        <f t="shared" si="21"/>
        <v>#DIV/0!</v>
      </c>
      <c r="AD305" s="298" t="e">
        <f t="shared" si="21"/>
        <v>#DIV/0!</v>
      </c>
      <c r="AE305" s="298" t="e">
        <f t="shared" si="21"/>
        <v>#DIV/0!</v>
      </c>
      <c r="AF305" s="298" t="e">
        <f t="shared" si="21"/>
        <v>#DIV/0!</v>
      </c>
      <c r="AG305" s="298" t="e">
        <f t="shared" si="21"/>
        <v>#DIV/0!</v>
      </c>
      <c r="AH305" s="298" t="e">
        <f t="shared" si="21"/>
        <v>#DIV/0!</v>
      </c>
      <c r="AI305" s="298" t="e">
        <f t="shared" si="21"/>
        <v>#DIV/0!</v>
      </c>
      <c r="AJ305" s="298" t="e">
        <f t="shared" si="21"/>
        <v>#DIV/0!</v>
      </c>
      <c r="AK305" s="298" t="e">
        <f t="shared" si="21"/>
        <v>#DIV/0!</v>
      </c>
      <c r="AL305" s="298" t="e">
        <f t="shared" si="21"/>
        <v>#DIV/0!</v>
      </c>
      <c r="AM305" s="298" t="e">
        <f t="shared" si="21"/>
        <v>#DIV/0!</v>
      </c>
      <c r="AN305" s="298" t="e">
        <f t="shared" si="21"/>
        <v>#DIV/0!</v>
      </c>
      <c r="AO305" s="298" t="e">
        <f t="shared" si="21"/>
        <v>#DIV/0!</v>
      </c>
      <c r="AP305" s="298" t="e">
        <f t="shared" si="21"/>
        <v>#DIV/0!</v>
      </c>
      <c r="AQ305" s="298" t="e">
        <f t="shared" si="21"/>
        <v>#DIV/0!</v>
      </c>
      <c r="AR305" s="298" t="e">
        <f t="shared" si="21"/>
        <v>#DIV/0!</v>
      </c>
      <c r="AS305" s="298" t="e">
        <f t="shared" si="21"/>
        <v>#DIV/0!</v>
      </c>
      <c r="AT305" s="298" t="e">
        <f t="shared" si="21"/>
        <v>#DIV/0!</v>
      </c>
      <c r="AU305" s="298" t="e">
        <f t="shared" si="21"/>
        <v>#DIV/0!</v>
      </c>
      <c r="AV305" s="298" t="e">
        <f t="shared" si="21"/>
        <v>#DIV/0!</v>
      </c>
      <c r="AW305" s="298" t="e">
        <f t="shared" si="21"/>
        <v>#DIV/0!</v>
      </c>
      <c r="AX305" s="298" t="e">
        <f t="shared" si="21"/>
        <v>#DIV/0!</v>
      </c>
      <c r="AY305" s="298">
        <f t="shared" si="21"/>
        <v>0.28493001302912163</v>
      </c>
      <c r="AZ305" s="298" t="e">
        <f t="shared" si="21"/>
        <v>#DIV/0!</v>
      </c>
      <c r="BA305" s="298" t="e">
        <f t="shared" si="21"/>
        <v>#DIV/0!</v>
      </c>
      <c r="BB305" s="298" t="e">
        <f t="shared" si="21"/>
        <v>#DIV/0!</v>
      </c>
      <c r="BC305" s="298" t="e">
        <f t="shared" si="21"/>
        <v>#DIV/0!</v>
      </c>
      <c r="BD305" s="298" t="e">
        <f t="shared" si="21"/>
        <v>#DIV/0!</v>
      </c>
      <c r="BE305" s="298">
        <f t="shared" si="21"/>
        <v>1.2400625993740062</v>
      </c>
      <c r="BF305" s="298" t="e">
        <f t="shared" si="21"/>
        <v>#DIV/0!</v>
      </c>
      <c r="BG305" s="298" t="e">
        <f t="shared" si="21"/>
        <v>#DIV/0!</v>
      </c>
      <c r="BH305" s="298">
        <f t="shared" si="21"/>
        <v>0.55312603635029178</v>
      </c>
      <c r="BI305" s="298" t="e">
        <f t="shared" si="21"/>
        <v>#DIV/0!</v>
      </c>
      <c r="BJ305" s="298" t="e">
        <f t="shared" si="21"/>
        <v>#DIV/0!</v>
      </c>
      <c r="BK305" s="298" t="e">
        <f t="shared" si="21"/>
        <v>#DIV/0!</v>
      </c>
      <c r="BL305" s="298">
        <f t="shared" si="21"/>
        <v>0.36509913485214424</v>
      </c>
      <c r="BM305" s="298" t="e">
        <f t="shared" si="21"/>
        <v>#DIV/0!</v>
      </c>
      <c r="BN305" s="298" t="e">
        <f t="shared" si="21"/>
        <v>#DIV/0!</v>
      </c>
      <c r="BO305" s="298" t="e">
        <f t="shared" si="21"/>
        <v>#DIV/0!</v>
      </c>
      <c r="BP305" s="298" t="e">
        <f t="shared" si="21"/>
        <v>#DIV/0!</v>
      </c>
      <c r="BQ305" s="298" t="e">
        <f t="shared" si="21"/>
        <v>#DIV/0!</v>
      </c>
      <c r="BR305" s="298" t="e">
        <f t="shared" ref="BR305:BS305" si="22">+BR52/(BR125+BR56-BR39+BR60)</f>
        <v>#DIV/0!</v>
      </c>
      <c r="BS305" s="298" t="e">
        <f t="shared" si="22"/>
        <v>#DIV/0!</v>
      </c>
      <c r="BT305" s="298" t="e">
        <f t="shared" ref="BT305:CQ305" si="23">+BT52/(BT125+BT56-BT39+BT60)</f>
        <v>#DIV/0!</v>
      </c>
      <c r="BU305" s="298" t="e">
        <f t="shared" si="23"/>
        <v>#DIV/0!</v>
      </c>
      <c r="BV305" s="298" t="e">
        <f t="shared" si="23"/>
        <v>#DIV/0!</v>
      </c>
      <c r="BW305" s="298" t="e">
        <f t="shared" si="23"/>
        <v>#DIV/0!</v>
      </c>
      <c r="BX305" s="298" t="e">
        <f t="shared" si="23"/>
        <v>#DIV/0!</v>
      </c>
      <c r="BY305" s="298" t="e">
        <f t="shared" si="23"/>
        <v>#DIV/0!</v>
      </c>
      <c r="BZ305" s="298" t="e">
        <f t="shared" si="23"/>
        <v>#DIV/0!</v>
      </c>
      <c r="CA305" s="298" t="e">
        <f t="shared" si="23"/>
        <v>#DIV/0!</v>
      </c>
      <c r="CB305" s="298" t="e">
        <f t="shared" si="23"/>
        <v>#DIV/0!</v>
      </c>
      <c r="CC305" s="298">
        <f t="shared" si="23"/>
        <v>0.30824185912088237</v>
      </c>
      <c r="CD305" s="298" t="e">
        <f t="shared" si="23"/>
        <v>#DIV/0!</v>
      </c>
      <c r="CE305" s="298">
        <f t="shared" si="23"/>
        <v>0.69523869421662909</v>
      </c>
      <c r="CF305" s="298" t="e">
        <f t="shared" si="23"/>
        <v>#DIV/0!</v>
      </c>
      <c r="CG305" s="298" t="e">
        <f t="shared" si="23"/>
        <v>#DIV/0!</v>
      </c>
      <c r="CH305" s="298" t="e">
        <f t="shared" si="23"/>
        <v>#DIV/0!</v>
      </c>
      <c r="CI305" s="298">
        <f t="shared" si="23"/>
        <v>0.97286058627960104</v>
      </c>
      <c r="CJ305" s="298" t="e">
        <f t="shared" si="23"/>
        <v>#DIV/0!</v>
      </c>
      <c r="CK305" s="298" t="e">
        <f t="shared" si="23"/>
        <v>#DIV/0!</v>
      </c>
      <c r="CL305" s="298" t="e">
        <f t="shared" si="23"/>
        <v>#DIV/0!</v>
      </c>
      <c r="CM305" s="298" t="e">
        <f t="shared" si="23"/>
        <v>#DIV/0!</v>
      </c>
      <c r="CN305" s="298" t="e">
        <f t="shared" si="23"/>
        <v>#DIV/0!</v>
      </c>
      <c r="CO305" s="298" t="e">
        <f t="shared" si="23"/>
        <v>#DIV/0!</v>
      </c>
      <c r="CP305" s="298" t="e">
        <f t="shared" si="23"/>
        <v>#DIV/0!</v>
      </c>
      <c r="CQ305" s="298" t="e">
        <f t="shared" si="23"/>
        <v>#DIV/0!</v>
      </c>
    </row>
  </sheetData>
  <sheetProtection algorithmName="SHA-512" hashValue="wLI1WJbHPzjwVUiAWYC6YMb3oplqqNWnKPd6i7BghCysLaJFKSxhQFx98qXE4Yr+sxyqCTeg15Udo3UiT/uRhw==" saltValue="zv4d05doAeLF4J1fqzo44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1" customWidth="1"/>
    <col min="2" max="2" width="8" style="301" customWidth="1"/>
    <col min="3" max="3" width="14.88671875" style="301" customWidth="1"/>
    <col min="4" max="4" width="16" style="301" customWidth="1"/>
    <col min="5" max="7" width="9.109375" style="301"/>
    <col min="8" max="8" width="21.33203125" style="301" customWidth="1"/>
    <col min="9" max="16384" width="9.109375" style="301"/>
  </cols>
  <sheetData>
    <row r="1" spans="1:11" ht="15.75" customHeight="1" x14ac:dyDescent="0.3">
      <c r="A1" s="1315" t="s">
        <v>1036</v>
      </c>
      <c r="B1" s="1315"/>
      <c r="C1" s="1315"/>
      <c r="D1" s="1315"/>
    </row>
    <row r="2" spans="1:11" ht="15.75" customHeight="1" x14ac:dyDescent="0.3">
      <c r="A2" s="1317" t="s">
        <v>1136</v>
      </c>
      <c r="B2" s="1317"/>
      <c r="C2" s="1317"/>
      <c r="D2" s="1317"/>
    </row>
    <row r="3" spans="1:11" ht="21.9" customHeight="1" x14ac:dyDescent="0.3">
      <c r="A3" s="1315" t="s">
        <v>1137</v>
      </c>
      <c r="B3" s="1315"/>
      <c r="C3" s="1315"/>
      <c r="D3" s="1315"/>
    </row>
    <row r="4" spans="1:11" ht="21" customHeight="1" x14ac:dyDescent="0.3">
      <c r="A4" s="715"/>
      <c r="B4" s="715"/>
      <c r="C4" s="714" t="s">
        <v>1138</v>
      </c>
      <c r="D4" s="714" t="s">
        <v>1139</v>
      </c>
      <c r="I4" s="715"/>
      <c r="J4" s="714"/>
      <c r="K4" s="714"/>
    </row>
    <row r="5" spans="1:11" ht="15.75" customHeight="1" x14ac:dyDescent="0.3">
      <c r="A5" s="715"/>
      <c r="B5" s="710" t="s">
        <v>1140</v>
      </c>
      <c r="C5" s="714" t="s">
        <v>1141</v>
      </c>
      <c r="D5" s="714" t="s">
        <v>1142</v>
      </c>
      <c r="I5" s="710"/>
      <c r="J5" s="714"/>
      <c r="K5" s="714"/>
    </row>
    <row r="6" spans="1:11" ht="21" customHeight="1" x14ac:dyDescent="0.3">
      <c r="A6" s="694" t="s">
        <v>1143</v>
      </c>
      <c r="B6" s="710" t="s">
        <v>1144</v>
      </c>
      <c r="C6" s="714" t="s">
        <v>1145</v>
      </c>
      <c r="D6" s="714" t="s">
        <v>1145</v>
      </c>
      <c r="I6" s="710"/>
      <c r="J6" s="714"/>
      <c r="K6" s="714"/>
    </row>
    <row r="7" spans="1:11" ht="21.9" customHeight="1" x14ac:dyDescent="0.3">
      <c r="A7" s="694" t="s">
        <v>1146</v>
      </c>
      <c r="B7" s="699">
        <v>0.59699999999999998</v>
      </c>
      <c r="C7" s="695">
        <v>2015</v>
      </c>
      <c r="D7" s="695">
        <v>2021</v>
      </c>
      <c r="H7" s="701"/>
      <c r="I7" s="697"/>
      <c r="J7" s="708"/>
      <c r="K7" s="708"/>
    </row>
    <row r="8" spans="1:11" ht="15.75" customHeight="1" x14ac:dyDescent="0.3">
      <c r="A8" s="694" t="s">
        <v>1147</v>
      </c>
      <c r="B8" s="699">
        <v>0.52900000000000003</v>
      </c>
      <c r="C8" s="695">
        <v>2017</v>
      </c>
      <c r="D8" s="695">
        <v>2021</v>
      </c>
      <c r="H8" s="701"/>
      <c r="I8" s="697"/>
      <c r="J8" s="708"/>
      <c r="K8" s="708"/>
    </row>
    <row r="9" spans="1:11" ht="15.75" customHeight="1" x14ac:dyDescent="0.3">
      <c r="A9" s="694" t="s">
        <v>1148</v>
      </c>
      <c r="B9" s="699">
        <v>0.63</v>
      </c>
      <c r="C9" s="695">
        <v>2013</v>
      </c>
      <c r="D9" s="695">
        <v>2021</v>
      </c>
      <c r="H9" s="701"/>
      <c r="I9" s="697"/>
      <c r="J9" s="708"/>
      <c r="K9" s="708"/>
    </row>
    <row r="10" spans="1:11" ht="15.75" customHeight="1" x14ac:dyDescent="0.3">
      <c r="A10" s="694" t="s">
        <v>1149</v>
      </c>
      <c r="B10" s="699">
        <v>0.73499999999999999</v>
      </c>
      <c r="C10" s="695">
        <v>2016</v>
      </c>
      <c r="D10" s="695">
        <v>2021</v>
      </c>
      <c r="H10" s="701"/>
      <c r="I10" s="697"/>
      <c r="J10" s="708"/>
      <c r="K10" s="708"/>
    </row>
    <row r="11" spans="1:11" ht="21.9" customHeight="1" x14ac:dyDescent="0.3">
      <c r="A11" s="694" t="s">
        <v>1150</v>
      </c>
      <c r="B11" s="699">
        <v>0.67</v>
      </c>
      <c r="C11" s="695">
        <v>2017</v>
      </c>
      <c r="D11" s="695">
        <v>2021</v>
      </c>
      <c r="H11" s="701"/>
      <c r="I11" s="697"/>
      <c r="J11" s="708"/>
      <c r="K11" s="708"/>
    </row>
    <row r="12" spans="1:11" ht="21" customHeight="1" x14ac:dyDescent="0.3">
      <c r="A12" s="694" t="s">
        <v>1151</v>
      </c>
      <c r="B12" s="699">
        <v>0.72</v>
      </c>
      <c r="C12" s="695">
        <v>2016</v>
      </c>
      <c r="D12" s="695">
        <v>2021</v>
      </c>
      <c r="H12" s="701"/>
      <c r="I12" s="697"/>
      <c r="J12" s="708"/>
      <c r="K12" s="708"/>
    </row>
    <row r="13" spans="1:11" ht="15.75" customHeight="1" x14ac:dyDescent="0.3">
      <c r="A13" s="694" t="s">
        <v>1152</v>
      </c>
      <c r="B13" s="699">
        <v>0.80500000000000005</v>
      </c>
      <c r="C13" s="695">
        <v>2013</v>
      </c>
      <c r="D13" s="695">
        <v>2021</v>
      </c>
      <c r="H13" s="701"/>
      <c r="I13" s="697"/>
      <c r="J13" s="708"/>
      <c r="K13" s="708"/>
    </row>
    <row r="14" spans="1:11" ht="15.75" customHeight="1" x14ac:dyDescent="0.3">
      <c r="A14" s="694" t="s">
        <v>1153</v>
      </c>
      <c r="B14" s="699">
        <v>0.48</v>
      </c>
      <c r="C14" s="695">
        <v>2013</v>
      </c>
      <c r="D14" s="695">
        <v>2021</v>
      </c>
      <c r="H14" s="701"/>
      <c r="I14" s="697"/>
      <c r="J14" s="708"/>
      <c r="K14" s="708"/>
    </row>
    <row r="15" spans="1:11" ht="15.75" customHeight="1" x14ac:dyDescent="0.3">
      <c r="A15" s="694" t="s">
        <v>1154</v>
      </c>
      <c r="B15" s="699">
        <v>0.54</v>
      </c>
      <c r="C15" s="695">
        <v>2015</v>
      </c>
      <c r="D15" s="695">
        <v>2021</v>
      </c>
      <c r="H15" s="701"/>
      <c r="I15" s="697"/>
      <c r="J15" s="708"/>
      <c r="K15" s="700"/>
    </row>
    <row r="16" spans="1:11" ht="21" customHeight="1" x14ac:dyDescent="0.3">
      <c r="A16" s="694" t="s">
        <v>1155</v>
      </c>
      <c r="B16" s="699">
        <v>0.73799999999999999</v>
      </c>
      <c r="C16" s="695">
        <v>2017</v>
      </c>
      <c r="D16" s="695">
        <v>2021</v>
      </c>
      <c r="H16" s="701"/>
      <c r="I16" s="697"/>
      <c r="J16" s="708"/>
      <c r="K16" s="700"/>
    </row>
    <row r="17" spans="1:11" ht="21.9" customHeight="1" x14ac:dyDescent="0.3">
      <c r="A17" s="694" t="s">
        <v>1156</v>
      </c>
      <c r="B17" s="699">
        <v>0.74350000000000005</v>
      </c>
      <c r="C17" s="695">
        <v>2017</v>
      </c>
      <c r="D17" s="695">
        <v>2021</v>
      </c>
      <c r="H17" s="701"/>
      <c r="I17" s="697"/>
      <c r="J17" s="708"/>
      <c r="K17" s="700"/>
    </row>
    <row r="18" spans="1:11" ht="15.75" customHeight="1" x14ac:dyDescent="0.3">
      <c r="A18" s="694" t="s">
        <v>1157</v>
      </c>
      <c r="B18" s="699">
        <v>0.78600000000000003</v>
      </c>
      <c r="C18" s="695">
        <v>2013</v>
      </c>
      <c r="D18" s="695">
        <v>2021</v>
      </c>
      <c r="H18" s="701"/>
      <c r="I18" s="697"/>
      <c r="J18" s="708"/>
      <c r="K18" s="700"/>
    </row>
    <row r="19" spans="1:11" ht="15.75" customHeight="1" x14ac:dyDescent="0.3">
      <c r="A19" s="694" t="s">
        <v>1158</v>
      </c>
      <c r="B19" s="699">
        <v>0.58499999999999996</v>
      </c>
      <c r="C19" s="695">
        <v>2017</v>
      </c>
      <c r="D19" s="695">
        <v>2021</v>
      </c>
      <c r="H19" s="701"/>
      <c r="I19" s="697"/>
      <c r="J19" s="708"/>
      <c r="K19" s="700"/>
    </row>
    <row r="20" spans="1:11" ht="15.75" customHeight="1" x14ac:dyDescent="0.3">
      <c r="A20" s="694" t="s">
        <v>1159</v>
      </c>
      <c r="B20" s="699">
        <v>0.38</v>
      </c>
      <c r="C20" s="695">
        <v>2016</v>
      </c>
      <c r="D20" s="695">
        <v>2021</v>
      </c>
    </row>
    <row r="21" spans="1:11" ht="21.9" customHeight="1" x14ac:dyDescent="0.3">
      <c r="A21" s="703" t="s">
        <v>1160</v>
      </c>
      <c r="B21" s="699">
        <v>0.55500000000000005</v>
      </c>
      <c r="C21" s="695">
        <v>2017</v>
      </c>
      <c r="D21" s="713">
        <v>2021</v>
      </c>
    </row>
    <row r="22" spans="1:11" ht="21" customHeight="1" x14ac:dyDescent="0.3">
      <c r="A22" s="703" t="s">
        <v>1161</v>
      </c>
      <c r="B22" s="699">
        <v>0.8679</v>
      </c>
      <c r="C22" s="695">
        <v>2017</v>
      </c>
      <c r="D22" s="713">
        <v>2021</v>
      </c>
    </row>
    <row r="23" spans="1:11" ht="15.75" customHeight="1" x14ac:dyDescent="0.3">
      <c r="A23" s="703" t="s">
        <v>1162</v>
      </c>
      <c r="B23" s="699">
        <v>0.72</v>
      </c>
      <c r="C23" s="695">
        <v>2013</v>
      </c>
      <c r="D23" s="713">
        <v>2021</v>
      </c>
    </row>
    <row r="24" spans="1:11" ht="15.75" customHeight="1" x14ac:dyDescent="0.3">
      <c r="A24" s="703" t="s">
        <v>1163</v>
      </c>
      <c r="B24" s="699">
        <v>0.5494</v>
      </c>
      <c r="C24" s="695">
        <v>2017</v>
      </c>
      <c r="D24" s="713">
        <v>2021</v>
      </c>
    </row>
    <row r="25" spans="1:11" ht="15.75" customHeight="1" x14ac:dyDescent="0.3">
      <c r="A25" s="703" t="s">
        <v>1164</v>
      </c>
      <c r="B25" s="699">
        <v>0.67</v>
      </c>
      <c r="C25" s="695">
        <v>2017</v>
      </c>
      <c r="D25" s="713">
        <v>2021</v>
      </c>
    </row>
    <row r="26" spans="1:11" ht="21.9" customHeight="1" x14ac:dyDescent="0.3">
      <c r="A26" s="703" t="s">
        <v>1165</v>
      </c>
      <c r="B26" s="699">
        <v>0.66</v>
      </c>
      <c r="C26" s="695">
        <v>2017</v>
      </c>
      <c r="D26" s="713">
        <v>2021</v>
      </c>
    </row>
    <row r="27" spans="1:11" ht="21.9" customHeight="1" x14ac:dyDescent="0.3">
      <c r="A27" s="703" t="s">
        <v>1166</v>
      </c>
      <c r="B27" s="699">
        <v>0.58199999999999996</v>
      </c>
      <c r="C27" s="695">
        <v>2016</v>
      </c>
      <c r="D27" s="713">
        <v>2021</v>
      </c>
    </row>
    <row r="28" spans="1:11" ht="15.75" customHeight="1" x14ac:dyDescent="0.3">
      <c r="A28" s="703" t="s">
        <v>1167</v>
      </c>
      <c r="B28" s="699">
        <v>0.36</v>
      </c>
      <c r="C28" s="695">
        <v>2013</v>
      </c>
      <c r="D28" s="713">
        <v>2021</v>
      </c>
    </row>
    <row r="29" spans="1:11" ht="15.75" customHeight="1" x14ac:dyDescent="0.3">
      <c r="A29" s="703" t="s">
        <v>1168</v>
      </c>
      <c r="B29" s="699">
        <v>0.63600000000000001</v>
      </c>
      <c r="C29" s="695">
        <v>2016</v>
      </c>
      <c r="D29" s="713">
        <v>2021</v>
      </c>
    </row>
    <row r="30" spans="1:11" ht="15.75" customHeight="1" x14ac:dyDescent="0.3">
      <c r="A30" s="703" t="s">
        <v>1169</v>
      </c>
      <c r="B30" s="699">
        <v>0.73089999999999999</v>
      </c>
      <c r="C30" s="695">
        <v>2015</v>
      </c>
      <c r="D30" s="713">
        <v>2021</v>
      </c>
    </row>
    <row r="31" spans="1:11" ht="21" customHeight="1" x14ac:dyDescent="0.3">
      <c r="A31" s="703" t="s">
        <v>1170</v>
      </c>
      <c r="B31" s="699">
        <v>0.85499999999999998</v>
      </c>
      <c r="C31" s="695">
        <v>2013</v>
      </c>
      <c r="D31" s="713">
        <v>2021</v>
      </c>
    </row>
    <row r="32" spans="1:11" ht="21.9" customHeight="1" x14ac:dyDescent="0.3">
      <c r="A32" s="716" t="s">
        <v>1171</v>
      </c>
      <c r="B32" s="693">
        <v>0.55000000000000004</v>
      </c>
      <c r="C32" s="712">
        <v>2018</v>
      </c>
      <c r="D32" s="712">
        <v>2022</v>
      </c>
    </row>
    <row r="33" spans="1:4" ht="15.75" customHeight="1" x14ac:dyDescent="0.3">
      <c r="A33" s="716" t="s">
        <v>1172</v>
      </c>
      <c r="B33" s="693">
        <v>0.82</v>
      </c>
      <c r="C33" s="712">
        <v>2015</v>
      </c>
      <c r="D33" s="712">
        <v>2022</v>
      </c>
    </row>
    <row r="34" spans="1:4" ht="15.75" customHeight="1" x14ac:dyDescent="0.3">
      <c r="A34" s="716" t="s">
        <v>1173</v>
      </c>
      <c r="B34" s="693">
        <v>0.755</v>
      </c>
      <c r="C34" s="712">
        <v>2014</v>
      </c>
      <c r="D34" s="712">
        <v>2022</v>
      </c>
    </row>
    <row r="35" spans="1:4" ht="15.75" customHeight="1" x14ac:dyDescent="0.3">
      <c r="A35" s="716" t="s">
        <v>1174</v>
      </c>
      <c r="B35" s="693">
        <v>0.5494</v>
      </c>
      <c r="C35" s="712">
        <v>2016</v>
      </c>
      <c r="D35" s="712">
        <v>2022</v>
      </c>
    </row>
    <row r="36" spans="1:4" ht="21.9" customHeight="1" x14ac:dyDescent="0.3">
      <c r="A36" s="716" t="s">
        <v>1175</v>
      </c>
      <c r="B36" s="693">
        <v>0.73499999999999999</v>
      </c>
      <c r="C36" s="712">
        <v>2017</v>
      </c>
      <c r="D36" s="712">
        <v>2022</v>
      </c>
    </row>
    <row r="37" spans="1:4" ht="21" customHeight="1" x14ac:dyDescent="0.3">
      <c r="A37" s="716" t="s">
        <v>1176</v>
      </c>
      <c r="B37" s="693">
        <v>0.73050000000000004</v>
      </c>
      <c r="C37" s="712">
        <v>2017</v>
      </c>
      <c r="D37" s="712">
        <v>2022</v>
      </c>
    </row>
    <row r="38" spans="1:4" ht="15.75" customHeight="1" x14ac:dyDescent="0.3">
      <c r="A38" s="716" t="s">
        <v>1177</v>
      </c>
      <c r="B38" s="693">
        <v>0.75</v>
      </c>
      <c r="C38" s="712">
        <v>2017</v>
      </c>
      <c r="D38" s="712">
        <v>2022</v>
      </c>
    </row>
    <row r="39" spans="1:4" ht="15.75" customHeight="1" x14ac:dyDescent="0.3">
      <c r="A39" s="716" t="s">
        <v>1178</v>
      </c>
      <c r="B39" s="693">
        <v>0.75</v>
      </c>
      <c r="C39" s="712">
        <v>2014</v>
      </c>
      <c r="D39" s="712">
        <v>2022</v>
      </c>
    </row>
    <row r="40" spans="1:4" ht="15.75" customHeight="1" x14ac:dyDescent="0.3">
      <c r="A40" s="717" t="s">
        <v>1179</v>
      </c>
      <c r="B40" s="693">
        <v>0.77</v>
      </c>
      <c r="C40" s="712">
        <v>2014</v>
      </c>
      <c r="D40" s="698">
        <v>2022</v>
      </c>
    </row>
    <row r="41" spans="1:4" ht="21" customHeight="1" x14ac:dyDescent="0.3">
      <c r="A41" s="717" t="s">
        <v>1180</v>
      </c>
      <c r="B41" s="693">
        <v>0.57999999999999996</v>
      </c>
      <c r="C41" s="712">
        <v>2018</v>
      </c>
      <c r="D41" s="698">
        <v>2022</v>
      </c>
    </row>
    <row r="42" spans="1:4" ht="21.9" customHeight="1" x14ac:dyDescent="0.3">
      <c r="A42" s="717" t="s">
        <v>1181</v>
      </c>
      <c r="B42" s="693">
        <v>0.70499999999999996</v>
      </c>
      <c r="C42" s="712">
        <v>2018</v>
      </c>
      <c r="D42" s="698">
        <v>2022</v>
      </c>
    </row>
    <row r="43" spans="1:4" ht="15.75" customHeight="1" x14ac:dyDescent="0.3">
      <c r="A43" s="717" t="s">
        <v>1182</v>
      </c>
      <c r="B43" s="693">
        <v>0.77</v>
      </c>
      <c r="C43" s="712">
        <v>2014</v>
      </c>
      <c r="D43" s="698">
        <v>2022</v>
      </c>
    </row>
    <row r="44" spans="1:4" ht="15.75" customHeight="1" x14ac:dyDescent="0.3">
      <c r="A44" s="717" t="s">
        <v>1183</v>
      </c>
      <c r="B44" s="693">
        <v>0.40300000000000002</v>
      </c>
      <c r="C44" s="712">
        <v>2014</v>
      </c>
      <c r="D44" s="698">
        <v>2022</v>
      </c>
    </row>
    <row r="45" spans="1:4" ht="15.75" customHeight="1" x14ac:dyDescent="0.3">
      <c r="A45" s="694" t="s">
        <v>1184</v>
      </c>
      <c r="B45" s="699">
        <v>0.79</v>
      </c>
      <c r="C45" s="695">
        <v>2015</v>
      </c>
      <c r="D45" s="695">
        <v>2023</v>
      </c>
    </row>
    <row r="46" spans="1:4" ht="21.9" customHeight="1" x14ac:dyDescent="0.3">
      <c r="A46" s="694" t="s">
        <v>1185</v>
      </c>
      <c r="B46" s="699">
        <v>0.443</v>
      </c>
      <c r="C46" s="695">
        <v>2019</v>
      </c>
      <c r="D46" s="695">
        <v>2023</v>
      </c>
    </row>
    <row r="47" spans="1:4" ht="21" customHeight="1" x14ac:dyDescent="0.3">
      <c r="A47" s="694" t="s">
        <v>1186</v>
      </c>
      <c r="B47" s="699">
        <v>0.48499999999999999</v>
      </c>
      <c r="C47" s="695">
        <v>2019</v>
      </c>
      <c r="D47" s="695">
        <v>2023</v>
      </c>
    </row>
    <row r="48" spans="1:4" ht="15.75" customHeight="1" x14ac:dyDescent="0.3">
      <c r="A48" s="694" t="s">
        <v>1187</v>
      </c>
      <c r="B48" s="699">
        <v>0.74</v>
      </c>
      <c r="C48" s="695">
        <v>2015</v>
      </c>
      <c r="D48" s="695">
        <v>2023</v>
      </c>
    </row>
    <row r="49" spans="1:4" ht="15.75" customHeight="1" x14ac:dyDescent="0.3">
      <c r="A49" s="694" t="s">
        <v>1188</v>
      </c>
      <c r="B49" s="699">
        <v>0.57499999999999996</v>
      </c>
      <c r="C49" s="695">
        <v>2019</v>
      </c>
      <c r="D49" s="695">
        <v>2023</v>
      </c>
    </row>
    <row r="50" spans="1:4" ht="15.75" customHeight="1" x14ac:dyDescent="0.3">
      <c r="A50" s="694" t="s">
        <v>1189</v>
      </c>
      <c r="B50" s="699">
        <v>0.71220000000000006</v>
      </c>
      <c r="C50" s="695">
        <v>2019</v>
      </c>
      <c r="D50" s="695">
        <v>2023</v>
      </c>
    </row>
    <row r="51" spans="1:4" ht="21.9" customHeight="1" x14ac:dyDescent="0.3">
      <c r="A51" s="694" t="s">
        <v>1190</v>
      </c>
      <c r="B51" s="699">
        <v>0.83</v>
      </c>
      <c r="C51" s="695">
        <v>2019</v>
      </c>
      <c r="D51" s="695">
        <v>2023</v>
      </c>
    </row>
    <row r="52" spans="1:4" ht="21.9" customHeight="1" x14ac:dyDescent="0.3">
      <c r="A52" s="694" t="s">
        <v>1191</v>
      </c>
      <c r="B52" s="699">
        <v>0.65</v>
      </c>
      <c r="C52" s="695">
        <v>2019</v>
      </c>
      <c r="D52" s="695">
        <v>2023</v>
      </c>
    </row>
    <row r="53" spans="1:4" ht="15.75" customHeight="1" x14ac:dyDescent="0.3">
      <c r="A53" s="694" t="s">
        <v>1192</v>
      </c>
      <c r="B53" s="699">
        <v>0.56100000000000005</v>
      </c>
      <c r="C53" s="695">
        <v>2019</v>
      </c>
      <c r="D53" s="695">
        <v>2023</v>
      </c>
    </row>
    <row r="54" spans="1:4" ht="15.75" customHeight="1" x14ac:dyDescent="0.3">
      <c r="A54" s="694" t="s">
        <v>1193</v>
      </c>
      <c r="B54" s="699">
        <v>0.77</v>
      </c>
      <c r="C54" s="695">
        <v>2017</v>
      </c>
      <c r="D54" s="695">
        <v>2023</v>
      </c>
    </row>
    <row r="55" spans="1:4" ht="15.75" customHeight="1" x14ac:dyDescent="0.3">
      <c r="A55" s="694" t="s">
        <v>1194</v>
      </c>
      <c r="B55" s="699">
        <v>0.53749999999999998</v>
      </c>
      <c r="C55" s="695">
        <v>2019</v>
      </c>
      <c r="D55" s="695">
        <v>2023</v>
      </c>
    </row>
    <row r="56" spans="1:4" ht="36" customHeight="1" x14ac:dyDescent="0.3">
      <c r="A56" s="703" t="s">
        <v>1195</v>
      </c>
      <c r="B56" s="699">
        <v>0.77500000000000002</v>
      </c>
      <c r="C56" s="695">
        <v>2019</v>
      </c>
      <c r="D56" s="713">
        <v>2023</v>
      </c>
    </row>
    <row r="57" spans="1:4" ht="36" customHeight="1" x14ac:dyDescent="0.3">
      <c r="A57" s="703" t="s">
        <v>1196</v>
      </c>
      <c r="B57" s="699">
        <v>0.59899999999999998</v>
      </c>
      <c r="C57" s="695">
        <v>2019</v>
      </c>
      <c r="D57" s="713">
        <v>2023</v>
      </c>
    </row>
    <row r="58" spans="1:4" ht="36" customHeight="1" x14ac:dyDescent="0.3">
      <c r="A58" s="703" t="s">
        <v>1197</v>
      </c>
      <c r="B58" s="699">
        <v>0.37469999999999998</v>
      </c>
      <c r="C58" s="695">
        <v>2019</v>
      </c>
      <c r="D58" s="713">
        <v>2023</v>
      </c>
    </row>
    <row r="59" spans="1:4" ht="36" customHeight="1" x14ac:dyDescent="0.3">
      <c r="A59" s="703" t="s">
        <v>1198</v>
      </c>
      <c r="B59" s="699">
        <v>0.58750000000000002</v>
      </c>
      <c r="C59" s="695">
        <v>2019</v>
      </c>
      <c r="D59" s="713">
        <v>2023</v>
      </c>
    </row>
    <row r="60" spans="1:4" ht="36" customHeight="1" x14ac:dyDescent="0.3">
      <c r="A60" s="703" t="s">
        <v>1199</v>
      </c>
      <c r="B60" s="699">
        <v>0.6169</v>
      </c>
      <c r="C60" s="695">
        <v>2019</v>
      </c>
      <c r="D60" s="713">
        <v>2023</v>
      </c>
    </row>
    <row r="61" spans="1:4" ht="36" customHeight="1" x14ac:dyDescent="0.3">
      <c r="A61" s="703" t="s">
        <v>1200</v>
      </c>
      <c r="B61" s="699">
        <v>0.51</v>
      </c>
      <c r="C61" s="695">
        <v>2019</v>
      </c>
      <c r="D61" s="713">
        <v>2023</v>
      </c>
    </row>
    <row r="62" spans="1:4" ht="36" customHeight="1" x14ac:dyDescent="0.3">
      <c r="A62" s="703" t="s">
        <v>1201</v>
      </c>
      <c r="B62" s="699">
        <v>0.91</v>
      </c>
      <c r="C62" s="695">
        <v>2015</v>
      </c>
      <c r="D62" s="713">
        <v>2023</v>
      </c>
    </row>
    <row r="63" spans="1:4" ht="36" customHeight="1" x14ac:dyDescent="0.3">
      <c r="A63" s="703" t="s">
        <v>1202</v>
      </c>
      <c r="B63" s="699">
        <v>0.65749999999999997</v>
      </c>
      <c r="C63" s="695">
        <v>2019</v>
      </c>
      <c r="D63" s="713">
        <v>2023</v>
      </c>
    </row>
    <row r="64" spans="1:4" ht="36" customHeight="1" x14ac:dyDescent="0.3">
      <c r="A64" s="703" t="s">
        <v>1203</v>
      </c>
      <c r="B64" s="699">
        <v>0.59699999999999998</v>
      </c>
      <c r="C64" s="695">
        <v>2019</v>
      </c>
      <c r="D64" s="713">
        <v>2023</v>
      </c>
    </row>
    <row r="65" spans="1:4" ht="36" customHeight="1" x14ac:dyDescent="0.3">
      <c r="A65" s="703" t="s">
        <v>1204</v>
      </c>
      <c r="B65" s="699">
        <v>0.66</v>
      </c>
      <c r="C65" s="695">
        <v>2019</v>
      </c>
      <c r="D65" s="713">
        <v>2023</v>
      </c>
    </row>
    <row r="66" spans="1:4" ht="36" customHeight="1" x14ac:dyDescent="0.3">
      <c r="A66" s="703" t="s">
        <v>1205</v>
      </c>
      <c r="B66" s="699">
        <v>0.66</v>
      </c>
      <c r="C66" s="695">
        <v>2017</v>
      </c>
      <c r="D66" s="713">
        <v>2023</v>
      </c>
    </row>
    <row r="67" spans="1:4" ht="36" customHeight="1" x14ac:dyDescent="0.3">
      <c r="A67" s="694" t="s">
        <v>1206</v>
      </c>
      <c r="B67" s="699">
        <v>0.74</v>
      </c>
      <c r="C67" s="695">
        <v>2020</v>
      </c>
      <c r="D67" s="695">
        <v>2024</v>
      </c>
    </row>
    <row r="68" spans="1:4" ht="36" customHeight="1" x14ac:dyDescent="0.3">
      <c r="A68" s="694" t="s">
        <v>1207</v>
      </c>
      <c r="B68" s="699">
        <v>0.33</v>
      </c>
      <c r="C68" s="695">
        <v>2020</v>
      </c>
      <c r="D68" s="695">
        <v>2024</v>
      </c>
    </row>
    <row r="69" spans="1:4" ht="36" customHeight="1" x14ac:dyDescent="0.3">
      <c r="A69" s="694" t="s">
        <v>1208</v>
      </c>
      <c r="B69" s="699">
        <v>0.80500000000000005</v>
      </c>
      <c r="C69" s="695">
        <v>2018</v>
      </c>
      <c r="D69" s="695">
        <v>2024</v>
      </c>
    </row>
    <row r="70" spans="1:4" ht="36" customHeight="1" x14ac:dyDescent="0.3">
      <c r="A70" s="694" t="s">
        <v>1209</v>
      </c>
      <c r="B70" s="699">
        <v>0.76</v>
      </c>
      <c r="C70" s="695">
        <v>2020</v>
      </c>
      <c r="D70" s="695">
        <v>2024</v>
      </c>
    </row>
    <row r="71" spans="1:4" ht="36" customHeight="1" x14ac:dyDescent="0.3">
      <c r="A71" s="703" t="s">
        <v>1210</v>
      </c>
      <c r="B71" s="699">
        <v>0.59</v>
      </c>
      <c r="C71" s="695">
        <v>2016</v>
      </c>
      <c r="D71" s="713">
        <v>2024</v>
      </c>
    </row>
    <row r="72" spans="1:4" ht="36" customHeight="1" x14ac:dyDescent="0.3">
      <c r="A72" s="703" t="s">
        <v>1211</v>
      </c>
      <c r="B72" s="699">
        <v>0.67969999999999997</v>
      </c>
      <c r="C72" s="695">
        <v>2020</v>
      </c>
      <c r="D72" s="713">
        <v>2024</v>
      </c>
    </row>
    <row r="73" spans="1:4" ht="36" customHeight="1" x14ac:dyDescent="0.3">
      <c r="A73" s="703" t="s">
        <v>1212</v>
      </c>
      <c r="B73" s="699">
        <v>0.83</v>
      </c>
      <c r="C73" s="695">
        <v>2016</v>
      </c>
      <c r="D73" s="713">
        <v>2024</v>
      </c>
    </row>
    <row r="74" spans="1:4" ht="36" customHeight="1" x14ac:dyDescent="0.3">
      <c r="A74" s="703" t="s">
        <v>1213</v>
      </c>
      <c r="B74" s="699">
        <v>0.77</v>
      </c>
      <c r="C74" s="695">
        <v>2018</v>
      </c>
      <c r="D74" s="713">
        <v>2024</v>
      </c>
    </row>
    <row r="75" spans="1:4" ht="36" customHeight="1" x14ac:dyDescent="0.3">
      <c r="A75" s="703" t="s">
        <v>1214</v>
      </c>
      <c r="B75" s="699">
        <v>0.89</v>
      </c>
      <c r="C75" s="695">
        <v>2016</v>
      </c>
      <c r="D75" s="713">
        <v>2024</v>
      </c>
    </row>
    <row r="76" spans="1:4" ht="36" customHeight="1" x14ac:dyDescent="0.3">
      <c r="A76" s="703" t="s">
        <v>1215</v>
      </c>
      <c r="B76" s="699">
        <v>0.6</v>
      </c>
      <c r="C76" s="695">
        <v>2020</v>
      </c>
      <c r="D76" s="713">
        <v>2024</v>
      </c>
    </row>
    <row r="77" spans="1:4" ht="36" customHeight="1" x14ac:dyDescent="0.3">
      <c r="A77" s="703" t="s">
        <v>1216</v>
      </c>
      <c r="B77" s="699">
        <v>0.73</v>
      </c>
      <c r="C77" s="695">
        <v>2016</v>
      </c>
      <c r="D77" s="713">
        <v>2024</v>
      </c>
    </row>
    <row r="78" spans="1:4" ht="36" customHeight="1" x14ac:dyDescent="0.3">
      <c r="A78" s="703" t="s">
        <v>1217</v>
      </c>
      <c r="B78" s="699">
        <v>0.6</v>
      </c>
      <c r="C78" s="695">
        <v>2016</v>
      </c>
      <c r="D78" s="713">
        <v>2024</v>
      </c>
    </row>
    <row r="79" spans="1:4" ht="36" customHeight="1" x14ac:dyDescent="0.3">
      <c r="A79" s="694" t="s">
        <v>1218</v>
      </c>
      <c r="B79" s="699">
        <v>0.67</v>
      </c>
      <c r="C79" s="695">
        <v>2017</v>
      </c>
      <c r="D79" s="695">
        <v>2025</v>
      </c>
    </row>
    <row r="80" spans="1:4" ht="36" customHeight="1" x14ac:dyDescent="0.3">
      <c r="A80" s="694" t="s">
        <v>1219</v>
      </c>
      <c r="B80" s="699">
        <v>0.69499999999999995</v>
      </c>
      <c r="C80" s="695">
        <v>2019</v>
      </c>
      <c r="D80" s="695">
        <v>2025</v>
      </c>
    </row>
    <row r="81" spans="1:4" ht="36" customHeight="1" x14ac:dyDescent="0.3">
      <c r="A81" s="694" t="s">
        <v>1220</v>
      </c>
      <c r="B81" s="699">
        <v>0.79900000000000004</v>
      </c>
      <c r="C81" s="695">
        <v>2017</v>
      </c>
      <c r="D81" s="695">
        <v>2025</v>
      </c>
    </row>
    <row r="82" spans="1:4" ht="36" customHeight="1" x14ac:dyDescent="0.3">
      <c r="A82" s="694" t="s">
        <v>1221</v>
      </c>
      <c r="B82" s="699">
        <v>0.40050000000000002</v>
      </c>
      <c r="C82" s="695">
        <v>2020</v>
      </c>
      <c r="D82" s="695">
        <v>2025</v>
      </c>
    </row>
    <row r="83" spans="1:4" ht="36" customHeight="1" x14ac:dyDescent="0.3">
      <c r="A83" s="694" t="s">
        <v>1222</v>
      </c>
      <c r="B83" s="699">
        <v>0.95</v>
      </c>
      <c r="C83" s="695">
        <v>2017</v>
      </c>
      <c r="D83" s="695">
        <v>2025</v>
      </c>
    </row>
    <row r="84" spans="1:4" ht="36" customHeight="1" x14ac:dyDescent="0.3">
      <c r="A84" s="694" t="s">
        <v>1223</v>
      </c>
      <c r="B84" s="699">
        <v>0.79</v>
      </c>
      <c r="C84" s="695">
        <v>2017</v>
      </c>
      <c r="D84" s="695">
        <v>2025</v>
      </c>
    </row>
    <row r="85" spans="1:4" ht="36" customHeight="1" x14ac:dyDescent="0.3">
      <c r="A85" s="703" t="s">
        <v>1224</v>
      </c>
      <c r="B85" s="699">
        <v>0.76</v>
      </c>
      <c r="C85" s="695">
        <v>2019</v>
      </c>
      <c r="D85" s="713">
        <v>2025</v>
      </c>
    </row>
    <row r="86" spans="1:4" ht="36" customHeight="1" x14ac:dyDescent="0.3">
      <c r="A86" s="703" t="s">
        <v>1225</v>
      </c>
      <c r="B86" s="699">
        <v>0.84499999999999997</v>
      </c>
      <c r="C86" s="695">
        <v>2017</v>
      </c>
      <c r="D86" s="713">
        <v>2025</v>
      </c>
    </row>
    <row r="87" spans="1:4" ht="36" customHeight="1" x14ac:dyDescent="0.3">
      <c r="A87" s="703" t="s">
        <v>1226</v>
      </c>
      <c r="B87" s="699">
        <v>0.81</v>
      </c>
      <c r="C87" s="695">
        <v>2017</v>
      </c>
      <c r="D87" s="713">
        <v>2025</v>
      </c>
    </row>
    <row r="88" spans="1:4" ht="36" customHeight="1" x14ac:dyDescent="0.3">
      <c r="A88" s="703" t="s">
        <v>1227</v>
      </c>
      <c r="B88" s="699">
        <v>0.67</v>
      </c>
      <c r="C88" s="695">
        <v>2017</v>
      </c>
      <c r="D88" s="713">
        <v>2025</v>
      </c>
    </row>
    <row r="89" spans="1:4" ht="36" customHeight="1" x14ac:dyDescent="0.3">
      <c r="A89" s="703" t="s">
        <v>1228</v>
      </c>
      <c r="B89" s="699">
        <v>0.63270000000000004</v>
      </c>
      <c r="C89" s="695">
        <v>2019</v>
      </c>
      <c r="D89" s="713">
        <v>2025</v>
      </c>
    </row>
    <row r="90" spans="1:4" ht="36" customHeight="1" x14ac:dyDescent="0.3">
      <c r="A90" s="703" t="s">
        <v>1229</v>
      </c>
      <c r="B90" s="699">
        <v>0.94</v>
      </c>
      <c r="C90" s="695">
        <v>2017</v>
      </c>
      <c r="D90" s="713">
        <v>2025</v>
      </c>
    </row>
    <row r="91" spans="1:4" ht="36" customHeight="1" x14ac:dyDescent="0.3">
      <c r="A91" s="703" t="s">
        <v>1230</v>
      </c>
      <c r="B91" s="699">
        <v>0.81</v>
      </c>
      <c r="C91" s="695">
        <v>2017</v>
      </c>
      <c r="D91" s="713">
        <v>2025</v>
      </c>
    </row>
    <row r="92" spans="1:4" ht="36" customHeight="1" x14ac:dyDescent="0.3">
      <c r="A92" s="694" t="s">
        <v>1231</v>
      </c>
      <c r="B92" s="699">
        <v>0.77700000000000002</v>
      </c>
      <c r="C92" s="695">
        <v>2018</v>
      </c>
      <c r="D92" s="695">
        <v>2026</v>
      </c>
    </row>
    <row r="93" spans="1:4" ht="36" customHeight="1" x14ac:dyDescent="0.3">
      <c r="A93" s="694" t="s">
        <v>1232</v>
      </c>
      <c r="B93" s="699">
        <v>0.63500000000000001</v>
      </c>
      <c r="C93" s="695">
        <v>2018</v>
      </c>
      <c r="D93" s="695">
        <v>2026</v>
      </c>
    </row>
    <row r="94" spans="1:4" ht="36" customHeight="1" x14ac:dyDescent="0.3">
      <c r="A94" s="694" t="s">
        <v>1233</v>
      </c>
      <c r="B94" s="699">
        <v>0.43</v>
      </c>
      <c r="C94" s="695">
        <v>2018</v>
      </c>
      <c r="D94" s="695">
        <v>2026</v>
      </c>
    </row>
    <row r="95" spans="1:4" ht="36" customHeight="1" x14ac:dyDescent="0.3">
      <c r="A95" s="694" t="s">
        <v>1234</v>
      </c>
      <c r="B95" s="699">
        <v>0.84</v>
      </c>
      <c r="C95" s="695">
        <v>2018</v>
      </c>
      <c r="D95" s="695">
        <v>2026</v>
      </c>
    </row>
    <row r="96" spans="1:4" ht="36" customHeight="1" x14ac:dyDescent="0.3">
      <c r="A96" s="694" t="s">
        <v>1235</v>
      </c>
      <c r="B96" s="699">
        <v>0.84</v>
      </c>
      <c r="C96" s="695">
        <v>2019</v>
      </c>
      <c r="D96" s="695">
        <v>2027</v>
      </c>
    </row>
    <row r="97" spans="1:4" ht="36" customHeight="1" x14ac:dyDescent="0.3">
      <c r="A97" s="703" t="s">
        <v>1236</v>
      </c>
      <c r="B97" s="699">
        <v>0.64500000000000002</v>
      </c>
      <c r="C97" s="695">
        <v>2019</v>
      </c>
      <c r="D97" s="713">
        <v>2027</v>
      </c>
    </row>
    <row r="98" spans="1:4" ht="36" customHeight="1" x14ac:dyDescent="0.3">
      <c r="A98" s="703" t="s">
        <v>1237</v>
      </c>
      <c r="B98" s="699">
        <v>0.69499999999999995</v>
      </c>
      <c r="C98" s="695">
        <v>2019</v>
      </c>
      <c r="D98" s="713">
        <v>2027</v>
      </c>
    </row>
    <row r="99" spans="1:4" ht="36" customHeight="1" x14ac:dyDescent="0.3">
      <c r="A99" s="703" t="s">
        <v>1238</v>
      </c>
      <c r="B99" s="699">
        <v>0.82499999999999996</v>
      </c>
      <c r="C99" s="695">
        <v>2019</v>
      </c>
      <c r="D99" s="713">
        <v>2027</v>
      </c>
    </row>
    <row r="100" spans="1:4" ht="36" customHeight="1" x14ac:dyDescent="0.3">
      <c r="A100" s="703" t="s">
        <v>1239</v>
      </c>
      <c r="B100" s="699">
        <v>1</v>
      </c>
      <c r="C100" s="695">
        <v>2019</v>
      </c>
      <c r="D100" s="713">
        <v>2027</v>
      </c>
    </row>
    <row r="101" spans="1:4" ht="36" customHeight="1" x14ac:dyDescent="0.3">
      <c r="A101" s="703" t="s">
        <v>1240</v>
      </c>
      <c r="B101" s="699">
        <v>0.66349999999999998</v>
      </c>
      <c r="C101" s="695">
        <v>2019</v>
      </c>
      <c r="D101" s="713">
        <v>2027</v>
      </c>
    </row>
    <row r="102" spans="1:4" ht="36" customHeight="1" x14ac:dyDescent="0.3">
      <c r="A102" s="694" t="s">
        <v>1241</v>
      </c>
      <c r="B102" s="699">
        <v>0.86499999999999999</v>
      </c>
      <c r="C102" s="695">
        <v>2020</v>
      </c>
      <c r="D102" s="695">
        <v>2028</v>
      </c>
    </row>
    <row r="103" spans="1:4" ht="36" customHeight="1" x14ac:dyDescent="0.3">
      <c r="A103" s="694" t="s">
        <v>1242</v>
      </c>
      <c r="B103" s="699">
        <v>0.46</v>
      </c>
      <c r="C103" s="695">
        <v>2020</v>
      </c>
      <c r="D103" s="695">
        <v>2028</v>
      </c>
    </row>
    <row r="104" spans="1:4" ht="36" customHeight="1" x14ac:dyDescent="0.3">
      <c r="A104" s="703" t="s">
        <v>1243</v>
      </c>
      <c r="B104" s="699">
        <v>0.5</v>
      </c>
      <c r="C104" s="695">
        <v>2020</v>
      </c>
      <c r="D104" s="713">
        <v>2028</v>
      </c>
    </row>
    <row r="105" spans="1:4" ht="36" customHeight="1" x14ac:dyDescent="0.3">
      <c r="A105" s="703" t="s">
        <v>1244</v>
      </c>
      <c r="B105" s="699">
        <v>0.62</v>
      </c>
      <c r="C105" s="695">
        <v>2020</v>
      </c>
      <c r="D105" s="713">
        <v>2028</v>
      </c>
    </row>
    <row r="106" spans="1:4" ht="36" customHeight="1" x14ac:dyDescent="0.3">
      <c r="A106" s="703" t="s">
        <v>1245</v>
      </c>
      <c r="B106" s="699">
        <v>0.625</v>
      </c>
      <c r="C106" s="695">
        <v>2020</v>
      </c>
      <c r="D106" s="713">
        <v>2028</v>
      </c>
    </row>
    <row r="107" spans="1:4" ht="36" customHeight="1" x14ac:dyDescent="0.3">
      <c r="A107" s="694"/>
      <c r="B107" s="699"/>
      <c r="C107" s="695"/>
      <c r="D107" s="695"/>
    </row>
    <row r="108" spans="1:4" ht="36" customHeight="1" x14ac:dyDescent="0.3">
      <c r="A108" s="694"/>
      <c r="B108" s="699"/>
      <c r="C108" s="695"/>
      <c r="D108" s="695"/>
    </row>
    <row r="109" spans="1:4" ht="36" customHeight="1" x14ac:dyDescent="0.3">
      <c r="A109" s="694"/>
      <c r="B109" s="699"/>
      <c r="C109" s="695"/>
      <c r="D109" s="695"/>
    </row>
    <row r="110" spans="1:4" ht="36" customHeight="1" x14ac:dyDescent="0.3">
      <c r="A110" s="694"/>
      <c r="B110" s="699"/>
      <c r="C110" s="695"/>
      <c r="D110" s="695"/>
    </row>
    <row r="111" spans="1:4" ht="36" customHeight="1" x14ac:dyDescent="0.3">
      <c r="A111" s="694"/>
      <c r="B111" s="699"/>
      <c r="C111" s="695"/>
      <c r="D111" s="695"/>
    </row>
    <row r="112" spans="1:4" ht="36" customHeight="1" x14ac:dyDescent="0.3">
      <c r="A112" s="1318" t="s">
        <v>1246</v>
      </c>
      <c r="B112" s="1318"/>
      <c r="C112" s="1318"/>
      <c r="D112" s="1318"/>
    </row>
    <row r="113" spans="1:4" ht="15.75" customHeight="1" x14ac:dyDescent="0.3">
      <c r="A113" s="1313" t="s">
        <v>1247</v>
      </c>
      <c r="B113" s="1313"/>
      <c r="C113" s="1313"/>
      <c r="D113" s="1313"/>
    </row>
    <row r="114" spans="1:4" ht="15.75" customHeight="1" x14ac:dyDescent="0.3">
      <c r="A114" s="1316" t="s">
        <v>1248</v>
      </c>
      <c r="B114" s="1316"/>
      <c r="C114" s="1316"/>
      <c r="D114" s="1316"/>
    </row>
    <row r="115" spans="1:4" ht="15.75" customHeight="1" x14ac:dyDescent="0.3">
      <c r="A115" s="1313" t="s">
        <v>1249</v>
      </c>
      <c r="B115" s="1313"/>
      <c r="C115" s="1313"/>
      <c r="D115" s="1313"/>
    </row>
    <row r="116" spans="1:4" ht="21.9" customHeight="1" x14ac:dyDescent="0.3">
      <c r="A116" s="1314" t="s">
        <v>1250</v>
      </c>
      <c r="B116" s="1314"/>
      <c r="C116" s="1314"/>
      <c r="D116" s="1314"/>
    </row>
    <row r="117" spans="1:4" ht="21" customHeight="1" x14ac:dyDescent="0.3">
      <c r="A117" s="1315" t="s">
        <v>1251</v>
      </c>
      <c r="B117" s="1315"/>
      <c r="C117" s="1315"/>
      <c r="D117" s="1315"/>
    </row>
    <row r="118" spans="1:4" ht="15.75" customHeight="1" x14ac:dyDescent="0.3">
      <c r="A118" s="1315" t="s">
        <v>1252</v>
      </c>
      <c r="B118" s="1315"/>
      <c r="C118" s="1315"/>
      <c r="D118" s="1315"/>
    </row>
    <row r="119" spans="1:4" ht="15.75" customHeight="1" x14ac:dyDescent="0.3">
      <c r="A119" s="1315" t="s">
        <v>1253</v>
      </c>
      <c r="B119" s="1315"/>
      <c r="C119" s="1315"/>
      <c r="D119" s="1315"/>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92"/>
  <sheetViews>
    <sheetView workbookViewId="0">
      <selection activeCell="D1" sqref="D1"/>
    </sheetView>
  </sheetViews>
  <sheetFormatPr defaultColWidth="9.109375" defaultRowHeight="14.4" x14ac:dyDescent="0.3"/>
  <cols>
    <col min="1" max="1" width="28.5546875" style="721" customWidth="1"/>
    <col min="2" max="17" width="9.109375" style="721"/>
    <col min="18" max="18" width="14.88671875" style="721" customWidth="1"/>
    <col min="19" max="16384" width="9.109375" style="721"/>
  </cols>
  <sheetData>
    <row r="1" spans="1:21" x14ac:dyDescent="0.3">
      <c r="A1" s="721" t="s">
        <v>1582</v>
      </c>
      <c r="M1" s="270" t="s">
        <v>1800</v>
      </c>
      <c r="N1" s="270"/>
      <c r="O1" s="270"/>
      <c r="P1" s="270"/>
      <c r="Q1" s="270"/>
      <c r="R1" s="270" t="s">
        <v>1801</v>
      </c>
      <c r="S1" s="270"/>
      <c r="T1" s="270"/>
      <c r="U1" s="270"/>
    </row>
    <row r="2" spans="1:21" ht="15" thickBot="1" x14ac:dyDescent="0.35">
      <c r="A2" s="1131" t="s">
        <v>1693</v>
      </c>
      <c r="B2" s="1132">
        <v>50372</v>
      </c>
      <c r="C2" s="707"/>
      <c r="D2" s="56"/>
      <c r="E2" s="56"/>
      <c r="G2" s="721">
        <v>100</v>
      </c>
      <c r="I2" s="721" t="s">
        <v>613</v>
      </c>
      <c r="M2" s="404" t="s">
        <v>1693</v>
      </c>
      <c r="N2" s="404">
        <v>50372</v>
      </c>
      <c r="O2" s="270" t="b">
        <f>EXACT(A2,M2)</f>
        <v>1</v>
      </c>
      <c r="P2" s="270" t="b">
        <f>EXACT(B2,N2)</f>
        <v>1</v>
      </c>
      <c r="Q2" s="270"/>
      <c r="R2" s="270" t="s">
        <v>1693</v>
      </c>
      <c r="S2" s="270">
        <v>50372</v>
      </c>
      <c r="T2" s="270" t="b">
        <f>EXACT(M2,R2)</f>
        <v>1</v>
      </c>
      <c r="U2" s="270" t="b">
        <f>EXACT(N2,S2)</f>
        <v>1</v>
      </c>
    </row>
    <row r="3" spans="1:21" ht="15" customHeight="1" thickBot="1" x14ac:dyDescent="0.35">
      <c r="A3" s="1131" t="s">
        <v>1694</v>
      </c>
      <c r="B3" s="1132">
        <v>50457</v>
      </c>
      <c r="C3" s="707"/>
      <c r="D3" s="55"/>
      <c r="E3" s="56"/>
      <c r="G3" s="721">
        <v>200</v>
      </c>
      <c r="I3" s="721" t="s">
        <v>614</v>
      </c>
      <c r="M3" s="404" t="s">
        <v>1694</v>
      </c>
      <c r="N3" s="404">
        <v>50457</v>
      </c>
      <c r="O3" s="270" t="b">
        <f t="shared" ref="O3:O66" si="0">EXACT(A3,M3)</f>
        <v>1</v>
      </c>
      <c r="P3" s="270" t="b">
        <f t="shared" ref="P3:P66" si="1">EXACT(B3,N3)</f>
        <v>1</v>
      </c>
      <c r="R3" s="270" t="s">
        <v>1694</v>
      </c>
      <c r="S3" s="270">
        <v>50457</v>
      </c>
      <c r="T3" s="270" t="b">
        <f t="shared" ref="T3:T66" si="2">EXACT(M3,R3)</f>
        <v>1</v>
      </c>
      <c r="U3" s="270" t="b">
        <f t="shared" ref="U3:U66" si="3">EXACT(N3,S3)</f>
        <v>1</v>
      </c>
    </row>
    <row r="4" spans="1:21" ht="15" customHeight="1" thickBot="1" x14ac:dyDescent="0.35">
      <c r="A4" s="1131" t="s">
        <v>1695</v>
      </c>
      <c r="B4" s="1132">
        <v>50373</v>
      </c>
      <c r="C4" s="707"/>
      <c r="D4" s="55"/>
      <c r="E4" s="56"/>
      <c r="G4" s="721">
        <v>300</v>
      </c>
      <c r="I4" s="721" t="s">
        <v>615</v>
      </c>
      <c r="M4" s="404" t="s">
        <v>1695</v>
      </c>
      <c r="N4" s="404">
        <v>50373</v>
      </c>
      <c r="O4" s="270" t="b">
        <f t="shared" si="0"/>
        <v>1</v>
      </c>
      <c r="P4" s="270" t="b">
        <f t="shared" si="1"/>
        <v>1</v>
      </c>
      <c r="R4" s="270" t="s">
        <v>1695</v>
      </c>
      <c r="S4" s="270">
        <v>50373</v>
      </c>
      <c r="T4" s="270" t="b">
        <f t="shared" si="2"/>
        <v>1</v>
      </c>
      <c r="U4" s="270" t="b">
        <f t="shared" si="3"/>
        <v>1</v>
      </c>
    </row>
    <row r="5" spans="1:21" ht="15" thickBot="1" x14ac:dyDescent="0.35">
      <c r="A5" s="1131" t="s">
        <v>1619</v>
      </c>
      <c r="B5" s="1132">
        <v>50374</v>
      </c>
      <c r="C5" s="707"/>
      <c r="D5" s="55"/>
      <c r="E5" s="56"/>
      <c r="G5" s="721">
        <v>400</v>
      </c>
      <c r="M5" s="404" t="s">
        <v>1619</v>
      </c>
      <c r="N5" s="404">
        <v>50374</v>
      </c>
      <c r="O5" s="270" t="b">
        <f t="shared" si="0"/>
        <v>1</v>
      </c>
      <c r="P5" s="270" t="b">
        <f t="shared" si="1"/>
        <v>1</v>
      </c>
      <c r="R5" s="270" t="s">
        <v>1619</v>
      </c>
      <c r="S5" s="270">
        <v>50374</v>
      </c>
      <c r="T5" s="270" t="b">
        <f t="shared" si="2"/>
        <v>1</v>
      </c>
      <c r="U5" s="270" t="b">
        <f t="shared" si="3"/>
        <v>1</v>
      </c>
    </row>
    <row r="6" spans="1:21" ht="15" thickBot="1" x14ac:dyDescent="0.35">
      <c r="A6" s="1131" t="s">
        <v>1696</v>
      </c>
      <c r="B6" s="1132">
        <v>50375</v>
      </c>
      <c r="C6" s="707"/>
      <c r="D6" s="55"/>
      <c r="E6" s="56"/>
      <c r="G6" s="721">
        <v>500</v>
      </c>
      <c r="M6" s="404" t="s">
        <v>1696</v>
      </c>
      <c r="N6" s="404">
        <v>50375</v>
      </c>
      <c r="O6" s="270" t="b">
        <f t="shared" si="0"/>
        <v>1</v>
      </c>
      <c r="P6" s="270" t="b">
        <f t="shared" si="1"/>
        <v>1</v>
      </c>
      <c r="R6" s="270" t="s">
        <v>1696</v>
      </c>
      <c r="S6" s="270">
        <v>50375</v>
      </c>
      <c r="T6" s="270" t="b">
        <f t="shared" si="2"/>
        <v>1</v>
      </c>
      <c r="U6" s="270" t="b">
        <f t="shared" si="3"/>
        <v>1</v>
      </c>
    </row>
    <row r="7" spans="1:21" ht="15" thickBot="1" x14ac:dyDescent="0.35">
      <c r="A7" s="1131" t="s">
        <v>1697</v>
      </c>
      <c r="B7" s="1132">
        <v>50376</v>
      </c>
      <c r="C7" s="707"/>
      <c r="D7" s="55"/>
      <c r="E7" s="56"/>
      <c r="M7" s="404" t="s">
        <v>1697</v>
      </c>
      <c r="N7" s="404">
        <v>50376</v>
      </c>
      <c r="O7" s="270" t="b">
        <f t="shared" si="0"/>
        <v>1</v>
      </c>
      <c r="P7" s="270" t="b">
        <f t="shared" si="1"/>
        <v>1</v>
      </c>
      <c r="R7" s="270" t="s">
        <v>1697</v>
      </c>
      <c r="S7" s="270">
        <v>50376</v>
      </c>
      <c r="T7" s="270" t="b">
        <f t="shared" si="2"/>
        <v>1</v>
      </c>
      <c r="U7" s="270" t="b">
        <f t="shared" si="3"/>
        <v>1</v>
      </c>
    </row>
    <row r="8" spans="1:21" ht="15" thickBot="1" x14ac:dyDescent="0.35">
      <c r="A8" s="1131" t="s">
        <v>1698</v>
      </c>
      <c r="B8" s="1132">
        <v>50377</v>
      </c>
      <c r="C8" s="707"/>
      <c r="D8" s="55"/>
      <c r="E8" s="56"/>
      <c r="M8" s="404" t="s">
        <v>1698</v>
      </c>
      <c r="N8" s="404">
        <v>50377</v>
      </c>
      <c r="O8" s="270" t="b">
        <f t="shared" si="0"/>
        <v>1</v>
      </c>
      <c r="P8" s="270" t="b">
        <f t="shared" si="1"/>
        <v>1</v>
      </c>
      <c r="R8" s="270" t="s">
        <v>1698</v>
      </c>
      <c r="S8" s="270">
        <v>50377</v>
      </c>
      <c r="T8" s="270" t="b">
        <f t="shared" si="2"/>
        <v>1</v>
      </c>
      <c r="U8" s="270" t="b">
        <f t="shared" si="3"/>
        <v>1</v>
      </c>
    </row>
    <row r="9" spans="1:21" ht="15" thickBot="1" x14ac:dyDescent="0.35">
      <c r="A9" s="1131" t="s">
        <v>1699</v>
      </c>
      <c r="B9" s="1132">
        <v>50378</v>
      </c>
      <c r="C9" s="707"/>
      <c r="D9" s="55"/>
      <c r="E9" s="56"/>
      <c r="M9" s="404" t="s">
        <v>1699</v>
      </c>
      <c r="N9" s="404">
        <v>50378</v>
      </c>
      <c r="O9" s="270" t="b">
        <f t="shared" si="0"/>
        <v>1</v>
      </c>
      <c r="P9" s="270" t="b">
        <f t="shared" si="1"/>
        <v>1</v>
      </c>
      <c r="R9" s="270" t="s">
        <v>1699</v>
      </c>
      <c r="S9" s="270">
        <v>50378</v>
      </c>
      <c r="T9" s="270" t="b">
        <f t="shared" si="2"/>
        <v>1</v>
      </c>
      <c r="U9" s="270" t="b">
        <f t="shared" si="3"/>
        <v>1</v>
      </c>
    </row>
    <row r="10" spans="1:21" ht="15" thickBot="1" x14ac:dyDescent="0.35">
      <c r="A10" s="1131" t="s">
        <v>1700</v>
      </c>
      <c r="B10" s="1132">
        <v>50379</v>
      </c>
      <c r="C10" s="707"/>
      <c r="D10" s="55"/>
      <c r="E10" s="56"/>
      <c r="M10" s="404" t="s">
        <v>1700</v>
      </c>
      <c r="N10" s="404">
        <v>50379</v>
      </c>
      <c r="O10" s="270" t="b">
        <f t="shared" si="0"/>
        <v>1</v>
      </c>
      <c r="P10" s="270" t="b">
        <f t="shared" si="1"/>
        <v>1</v>
      </c>
      <c r="R10" s="270" t="s">
        <v>1700</v>
      </c>
      <c r="S10" s="270">
        <v>50379</v>
      </c>
      <c r="T10" s="270" t="b">
        <f t="shared" si="2"/>
        <v>1</v>
      </c>
      <c r="U10" s="270" t="b">
        <f t="shared" si="3"/>
        <v>1</v>
      </c>
    </row>
    <row r="11" spans="1:21" ht="15" thickBot="1" x14ac:dyDescent="0.35">
      <c r="A11" s="1131" t="s">
        <v>1701</v>
      </c>
      <c r="B11" s="1132">
        <v>50530</v>
      </c>
      <c r="C11" s="707"/>
      <c r="D11" s="55"/>
      <c r="E11" s="56"/>
      <c r="M11" s="404" t="s">
        <v>1701</v>
      </c>
      <c r="N11" s="404">
        <v>50530</v>
      </c>
      <c r="O11" s="270" t="b">
        <f t="shared" si="0"/>
        <v>1</v>
      </c>
      <c r="P11" s="270" t="b">
        <f t="shared" si="1"/>
        <v>1</v>
      </c>
      <c r="R11" s="270" t="s">
        <v>1701</v>
      </c>
      <c r="S11" s="270">
        <v>50530</v>
      </c>
      <c r="T11" s="270" t="b">
        <f t="shared" si="2"/>
        <v>1</v>
      </c>
      <c r="U11" s="270" t="b">
        <f t="shared" si="3"/>
        <v>1</v>
      </c>
    </row>
    <row r="12" spans="1:21" ht="15" thickBot="1" x14ac:dyDescent="0.35">
      <c r="A12" s="1131" t="s">
        <v>1702</v>
      </c>
      <c r="B12" s="1132">
        <v>50380</v>
      </c>
      <c r="C12" s="707"/>
      <c r="D12" s="55"/>
      <c r="E12" s="56"/>
      <c r="M12" s="404" t="s">
        <v>1702</v>
      </c>
      <c r="N12" s="404">
        <v>50380</v>
      </c>
      <c r="O12" s="270" t="b">
        <f t="shared" si="0"/>
        <v>1</v>
      </c>
      <c r="P12" s="270" t="b">
        <f t="shared" si="1"/>
        <v>1</v>
      </c>
      <c r="R12" s="270" t="s">
        <v>1702</v>
      </c>
      <c r="S12" s="270">
        <v>50380</v>
      </c>
      <c r="T12" s="270" t="b">
        <f t="shared" si="2"/>
        <v>1</v>
      </c>
      <c r="U12" s="270" t="b">
        <f t="shared" si="3"/>
        <v>1</v>
      </c>
    </row>
    <row r="13" spans="1:21" ht="15" thickBot="1" x14ac:dyDescent="0.35">
      <c r="A13" s="1131" t="s">
        <v>1620</v>
      </c>
      <c r="B13" s="1132">
        <v>50483</v>
      </c>
      <c r="C13" s="707"/>
      <c r="D13" s="55"/>
      <c r="E13" s="56"/>
      <c r="M13" s="404" t="s">
        <v>1620</v>
      </c>
      <c r="N13" s="404">
        <v>50483</v>
      </c>
      <c r="O13" s="270" t="b">
        <f t="shared" si="0"/>
        <v>1</v>
      </c>
      <c r="P13" s="270" t="b">
        <f t="shared" si="1"/>
        <v>1</v>
      </c>
      <c r="R13" s="270" t="s">
        <v>1620</v>
      </c>
      <c r="S13" s="270">
        <v>50483</v>
      </c>
      <c r="T13" s="270" t="b">
        <f t="shared" si="2"/>
        <v>1</v>
      </c>
      <c r="U13" s="270" t="b">
        <f t="shared" si="3"/>
        <v>1</v>
      </c>
    </row>
    <row r="14" spans="1:21" ht="15" thickBot="1" x14ac:dyDescent="0.35">
      <c r="A14" s="1131" t="s">
        <v>1703</v>
      </c>
      <c r="B14" s="1132">
        <v>50381</v>
      </c>
      <c r="C14" s="707"/>
      <c r="D14" s="55"/>
      <c r="E14" s="56"/>
      <c r="M14" s="404" t="s">
        <v>1703</v>
      </c>
      <c r="N14" s="404">
        <v>50381</v>
      </c>
      <c r="O14" s="270" t="b">
        <f t="shared" si="0"/>
        <v>1</v>
      </c>
      <c r="P14" s="270" t="b">
        <f t="shared" si="1"/>
        <v>1</v>
      </c>
      <c r="R14" s="270" t="s">
        <v>1703</v>
      </c>
      <c r="S14" s="270">
        <v>50381</v>
      </c>
      <c r="T14" s="270" t="b">
        <f t="shared" si="2"/>
        <v>1</v>
      </c>
      <c r="U14" s="270" t="b">
        <f t="shared" si="3"/>
        <v>1</v>
      </c>
    </row>
    <row r="15" spans="1:21" ht="15" thickBot="1" x14ac:dyDescent="0.35">
      <c r="A15" s="1131" t="s">
        <v>1704</v>
      </c>
      <c r="B15" s="1132">
        <v>50501</v>
      </c>
      <c r="C15" s="707"/>
      <c r="D15" s="55"/>
      <c r="E15" s="56"/>
      <c r="M15" s="404" t="s">
        <v>1704</v>
      </c>
      <c r="N15" s="404">
        <v>50501</v>
      </c>
      <c r="O15" s="270" t="b">
        <f t="shared" si="0"/>
        <v>1</v>
      </c>
      <c r="P15" s="270" t="b">
        <f t="shared" si="1"/>
        <v>1</v>
      </c>
      <c r="R15" s="270" t="s">
        <v>1704</v>
      </c>
      <c r="S15" s="270">
        <v>50501</v>
      </c>
      <c r="T15" s="270" t="b">
        <f t="shared" si="2"/>
        <v>1</v>
      </c>
      <c r="U15" s="270" t="b">
        <f t="shared" si="3"/>
        <v>1</v>
      </c>
    </row>
    <row r="16" spans="1:21" ht="15" thickBot="1" x14ac:dyDescent="0.35">
      <c r="A16" s="1131" t="s">
        <v>1705</v>
      </c>
      <c r="B16" s="1132">
        <v>50494</v>
      </c>
      <c r="C16" s="707"/>
      <c r="D16" s="55"/>
      <c r="E16" s="56"/>
      <c r="M16" s="404" t="s">
        <v>1705</v>
      </c>
      <c r="N16" s="404">
        <v>50494</v>
      </c>
      <c r="O16" s="270" t="b">
        <f t="shared" si="0"/>
        <v>1</v>
      </c>
      <c r="P16" s="270" t="b">
        <f t="shared" si="1"/>
        <v>1</v>
      </c>
      <c r="R16" s="270" t="s">
        <v>1705</v>
      </c>
      <c r="S16" s="270">
        <v>50494</v>
      </c>
      <c r="T16" s="270" t="b">
        <f t="shared" si="2"/>
        <v>1</v>
      </c>
      <c r="U16" s="270" t="b">
        <f t="shared" si="3"/>
        <v>1</v>
      </c>
    </row>
    <row r="17" spans="1:21" ht="15" thickBot="1" x14ac:dyDescent="0.35">
      <c r="A17" s="1131" t="s">
        <v>1706</v>
      </c>
      <c r="B17" s="1132">
        <v>50382</v>
      </c>
      <c r="C17" s="707"/>
      <c r="D17" s="55"/>
      <c r="E17" s="56"/>
      <c r="M17" s="404" t="s">
        <v>1706</v>
      </c>
      <c r="N17" s="404">
        <v>50382</v>
      </c>
      <c r="O17" s="270" t="b">
        <f t="shared" si="0"/>
        <v>1</v>
      </c>
      <c r="P17" s="270" t="b">
        <f t="shared" si="1"/>
        <v>1</v>
      </c>
      <c r="R17" s="270" t="s">
        <v>1706</v>
      </c>
      <c r="S17" s="270">
        <v>50382</v>
      </c>
      <c r="T17" s="270" t="b">
        <f t="shared" si="2"/>
        <v>1</v>
      </c>
      <c r="U17" s="270" t="b">
        <f t="shared" si="3"/>
        <v>1</v>
      </c>
    </row>
    <row r="18" spans="1:21" ht="15" thickBot="1" x14ac:dyDescent="0.35">
      <c r="A18" s="1131" t="s">
        <v>1707</v>
      </c>
      <c r="B18" s="1132">
        <v>50383</v>
      </c>
      <c r="C18" s="707"/>
      <c r="D18" s="55"/>
      <c r="E18" s="56"/>
      <c r="M18" s="404" t="s">
        <v>1707</v>
      </c>
      <c r="N18" s="404">
        <v>50383</v>
      </c>
      <c r="O18" s="270" t="b">
        <f t="shared" si="0"/>
        <v>1</v>
      </c>
      <c r="P18" s="270" t="b">
        <f t="shared" si="1"/>
        <v>1</v>
      </c>
      <c r="R18" s="270" t="s">
        <v>1707</v>
      </c>
      <c r="S18" s="270">
        <v>50383</v>
      </c>
      <c r="T18" s="270" t="b">
        <f t="shared" si="2"/>
        <v>1</v>
      </c>
      <c r="U18" s="270" t="b">
        <f t="shared" si="3"/>
        <v>1</v>
      </c>
    </row>
    <row r="19" spans="1:21" ht="15" thickBot="1" x14ac:dyDescent="0.35">
      <c r="A19" s="1131" t="s">
        <v>1708</v>
      </c>
      <c r="B19" s="1132">
        <v>50384</v>
      </c>
      <c r="C19" s="707"/>
      <c r="D19" s="55"/>
      <c r="E19" s="56"/>
      <c r="M19" s="404" t="s">
        <v>1708</v>
      </c>
      <c r="N19" s="404">
        <v>50384</v>
      </c>
      <c r="O19" s="270" t="b">
        <f t="shared" si="0"/>
        <v>1</v>
      </c>
      <c r="P19" s="270" t="b">
        <f t="shared" si="1"/>
        <v>1</v>
      </c>
      <c r="R19" s="270" t="s">
        <v>1708</v>
      </c>
      <c r="S19" s="270">
        <v>50384</v>
      </c>
      <c r="T19" s="270" t="b">
        <f t="shared" si="2"/>
        <v>1</v>
      </c>
      <c r="U19" s="270" t="b">
        <f t="shared" si="3"/>
        <v>1</v>
      </c>
    </row>
    <row r="20" spans="1:21" ht="15" thickBot="1" x14ac:dyDescent="0.35">
      <c r="A20" s="1131" t="s">
        <v>1709</v>
      </c>
      <c r="B20" s="1132">
        <v>50557</v>
      </c>
      <c r="C20" s="707"/>
      <c r="D20" s="55"/>
      <c r="E20" s="56"/>
      <c r="M20" s="404" t="s">
        <v>1709</v>
      </c>
      <c r="N20" s="404">
        <v>50557</v>
      </c>
      <c r="O20" s="270" t="b">
        <f t="shared" si="0"/>
        <v>1</v>
      </c>
      <c r="P20" s="270" t="b">
        <f t="shared" si="1"/>
        <v>1</v>
      </c>
      <c r="R20" s="270" t="s">
        <v>1709</v>
      </c>
      <c r="S20" s="270">
        <v>50557</v>
      </c>
      <c r="T20" s="270" t="b">
        <f t="shared" si="2"/>
        <v>1</v>
      </c>
      <c r="U20" s="270" t="b">
        <f t="shared" si="3"/>
        <v>1</v>
      </c>
    </row>
    <row r="21" spans="1:21" ht="15" thickBot="1" x14ac:dyDescent="0.35">
      <c r="A21" s="1131" t="s">
        <v>1710</v>
      </c>
      <c r="B21" s="1132">
        <v>50385</v>
      </c>
      <c r="C21" s="707"/>
      <c r="D21" s="55"/>
      <c r="E21" s="56"/>
      <c r="M21" s="404" t="s">
        <v>1710</v>
      </c>
      <c r="N21" s="404">
        <v>50385</v>
      </c>
      <c r="O21" s="270" t="b">
        <f t="shared" si="0"/>
        <v>1</v>
      </c>
      <c r="P21" s="270" t="b">
        <f t="shared" si="1"/>
        <v>1</v>
      </c>
      <c r="R21" s="270" t="s">
        <v>1710</v>
      </c>
      <c r="S21" s="270">
        <v>50385</v>
      </c>
      <c r="T21" s="270" t="b">
        <f t="shared" si="2"/>
        <v>1</v>
      </c>
      <c r="U21" s="270" t="b">
        <f t="shared" si="3"/>
        <v>1</v>
      </c>
    </row>
    <row r="22" spans="1:21" ht="15" thickBot="1" x14ac:dyDescent="0.35">
      <c r="A22" s="1131" t="s">
        <v>1621</v>
      </c>
      <c r="B22" s="1132">
        <v>50386</v>
      </c>
      <c r="C22" s="707"/>
      <c r="D22" s="55"/>
      <c r="E22" s="56"/>
      <c r="M22" s="404" t="s">
        <v>1621</v>
      </c>
      <c r="N22" s="404">
        <v>50386</v>
      </c>
      <c r="O22" s="270" t="b">
        <f t="shared" si="0"/>
        <v>1</v>
      </c>
      <c r="P22" s="270" t="b">
        <f t="shared" si="1"/>
        <v>1</v>
      </c>
      <c r="R22" s="270" t="s">
        <v>1621</v>
      </c>
      <c r="S22" s="270">
        <v>50386</v>
      </c>
      <c r="T22" s="270" t="b">
        <f t="shared" si="2"/>
        <v>1</v>
      </c>
      <c r="U22" s="270" t="b">
        <f t="shared" si="3"/>
        <v>1</v>
      </c>
    </row>
    <row r="23" spans="1:21" ht="15" thickBot="1" x14ac:dyDescent="0.35">
      <c r="A23" s="1131" t="s">
        <v>1711</v>
      </c>
      <c r="B23" s="1132">
        <v>50388</v>
      </c>
      <c r="C23" s="707"/>
      <c r="D23" s="55"/>
      <c r="E23" s="56"/>
      <c r="M23" s="404" t="s">
        <v>1711</v>
      </c>
      <c r="N23" s="404">
        <v>50388</v>
      </c>
      <c r="O23" s="270" t="b">
        <f t="shared" si="0"/>
        <v>1</v>
      </c>
      <c r="P23" s="270" t="b">
        <f t="shared" si="1"/>
        <v>1</v>
      </c>
      <c r="R23" s="270" t="s">
        <v>1711</v>
      </c>
      <c r="S23" s="270">
        <v>50388</v>
      </c>
      <c r="T23" s="270" t="b">
        <f t="shared" si="2"/>
        <v>1</v>
      </c>
      <c r="U23" s="270" t="b">
        <f t="shared" si="3"/>
        <v>1</v>
      </c>
    </row>
    <row r="24" spans="1:21" ht="15" thickBot="1" x14ac:dyDescent="0.35">
      <c r="A24" s="1131" t="s">
        <v>1712</v>
      </c>
      <c r="B24" s="1132">
        <v>50387</v>
      </c>
      <c r="C24" s="707"/>
      <c r="D24" s="55"/>
      <c r="E24" s="56"/>
      <c r="M24" s="404" t="s">
        <v>1712</v>
      </c>
      <c r="N24" s="404">
        <v>50387</v>
      </c>
      <c r="O24" s="270" t="b">
        <f t="shared" si="0"/>
        <v>1</v>
      </c>
      <c r="P24" s="270" t="b">
        <f t="shared" si="1"/>
        <v>1</v>
      </c>
      <c r="R24" s="270" t="s">
        <v>1712</v>
      </c>
      <c r="S24" s="270">
        <v>50387</v>
      </c>
      <c r="T24" s="270" t="b">
        <f t="shared" si="2"/>
        <v>1</v>
      </c>
      <c r="U24" s="270" t="b">
        <f t="shared" si="3"/>
        <v>1</v>
      </c>
    </row>
    <row r="25" spans="1:21" ht="15" thickBot="1" x14ac:dyDescent="0.35">
      <c r="A25" s="1131" t="s">
        <v>1003</v>
      </c>
      <c r="B25" s="1132">
        <v>50389</v>
      </c>
      <c r="C25" s="707"/>
      <c r="D25" s="55"/>
      <c r="E25" s="56"/>
      <c r="M25" s="404" t="s">
        <v>1003</v>
      </c>
      <c r="N25" s="404">
        <v>50389</v>
      </c>
      <c r="O25" s="270" t="b">
        <f t="shared" si="0"/>
        <v>1</v>
      </c>
      <c r="P25" s="270" t="b">
        <f t="shared" si="1"/>
        <v>1</v>
      </c>
      <c r="R25" s="270" t="s">
        <v>1003</v>
      </c>
      <c r="S25" s="270">
        <v>50389</v>
      </c>
      <c r="T25" s="270" t="b">
        <f t="shared" si="2"/>
        <v>1</v>
      </c>
      <c r="U25" s="270" t="b">
        <f t="shared" si="3"/>
        <v>1</v>
      </c>
    </row>
    <row r="26" spans="1:21" ht="15" thickBot="1" x14ac:dyDescent="0.35">
      <c r="A26" s="1131" t="s">
        <v>1004</v>
      </c>
      <c r="B26" s="1132">
        <v>50500</v>
      </c>
      <c r="C26" s="707"/>
      <c r="D26" s="55"/>
      <c r="E26" s="56"/>
      <c r="M26" s="404" t="s">
        <v>1004</v>
      </c>
      <c r="N26" s="404">
        <v>50500</v>
      </c>
      <c r="O26" s="270" t="b">
        <f t="shared" si="0"/>
        <v>1</v>
      </c>
      <c r="P26" s="270" t="b">
        <f t="shared" si="1"/>
        <v>1</v>
      </c>
      <c r="R26" s="270" t="s">
        <v>1004</v>
      </c>
      <c r="S26" s="270">
        <v>50500</v>
      </c>
      <c r="T26" s="270" t="b">
        <f t="shared" si="2"/>
        <v>1</v>
      </c>
      <c r="U26" s="270" t="b">
        <f t="shared" si="3"/>
        <v>1</v>
      </c>
    </row>
    <row r="27" spans="1:21" ht="15" thickBot="1" x14ac:dyDescent="0.35">
      <c r="A27" s="1131" t="s">
        <v>1622</v>
      </c>
      <c r="B27" s="1132">
        <v>50390</v>
      </c>
      <c r="C27" s="707"/>
      <c r="D27" s="55"/>
      <c r="E27" s="56"/>
      <c r="M27" s="404" t="s">
        <v>1622</v>
      </c>
      <c r="N27" s="404">
        <v>50390</v>
      </c>
      <c r="O27" s="270" t="b">
        <f t="shared" si="0"/>
        <v>1</v>
      </c>
      <c r="P27" s="270" t="b">
        <f t="shared" si="1"/>
        <v>1</v>
      </c>
      <c r="R27" s="270" t="s">
        <v>1622</v>
      </c>
      <c r="S27" s="270">
        <v>50390</v>
      </c>
      <c r="T27" s="270" t="b">
        <f t="shared" si="2"/>
        <v>1</v>
      </c>
      <c r="U27" s="270" t="b">
        <f t="shared" si="3"/>
        <v>1</v>
      </c>
    </row>
    <row r="28" spans="1:21" ht="15" thickBot="1" x14ac:dyDescent="0.35">
      <c r="A28" s="1131" t="s">
        <v>1713</v>
      </c>
      <c r="B28" s="1132">
        <v>50391</v>
      </c>
      <c r="C28" s="707"/>
      <c r="D28" s="55"/>
      <c r="E28" s="56"/>
      <c r="M28" s="404" t="s">
        <v>1713</v>
      </c>
      <c r="N28" s="404">
        <v>50391</v>
      </c>
      <c r="O28" s="270" t="b">
        <f t="shared" si="0"/>
        <v>1</v>
      </c>
      <c r="P28" s="270" t="b">
        <f t="shared" si="1"/>
        <v>1</v>
      </c>
      <c r="R28" s="270" t="s">
        <v>1713</v>
      </c>
      <c r="S28" s="270">
        <v>50391</v>
      </c>
      <c r="T28" s="270" t="b">
        <f t="shared" si="2"/>
        <v>1</v>
      </c>
      <c r="U28" s="270" t="b">
        <f t="shared" si="3"/>
        <v>1</v>
      </c>
    </row>
    <row r="29" spans="1:21" ht="15" thickBot="1" x14ac:dyDescent="0.35">
      <c r="A29" s="1131" t="s">
        <v>1714</v>
      </c>
      <c r="B29" s="1132">
        <v>50531</v>
      </c>
      <c r="C29" s="707"/>
      <c r="D29" s="55"/>
      <c r="E29" s="56"/>
      <c r="M29" s="404" t="s">
        <v>1714</v>
      </c>
      <c r="N29" s="404">
        <v>50531</v>
      </c>
      <c r="O29" s="270" t="b">
        <f t="shared" si="0"/>
        <v>1</v>
      </c>
      <c r="P29" s="270" t="b">
        <f t="shared" si="1"/>
        <v>1</v>
      </c>
      <c r="R29" s="270" t="s">
        <v>1714</v>
      </c>
      <c r="S29" s="270">
        <v>50531</v>
      </c>
      <c r="T29" s="270" t="b">
        <f t="shared" si="2"/>
        <v>1</v>
      </c>
      <c r="U29" s="270" t="b">
        <f t="shared" si="3"/>
        <v>1</v>
      </c>
    </row>
    <row r="30" spans="1:21" ht="15" thickBot="1" x14ac:dyDescent="0.35">
      <c r="A30" s="1131" t="s">
        <v>1715</v>
      </c>
      <c r="B30" s="1132">
        <v>50392</v>
      </c>
      <c r="C30" s="707"/>
      <c r="D30" s="55"/>
      <c r="E30" s="56"/>
      <c r="M30" s="404" t="s">
        <v>1715</v>
      </c>
      <c r="N30" s="404">
        <v>50392</v>
      </c>
      <c r="O30" s="270" t="b">
        <f t="shared" si="0"/>
        <v>1</v>
      </c>
      <c r="P30" s="270" t="b">
        <f t="shared" si="1"/>
        <v>1</v>
      </c>
      <c r="R30" s="270" t="s">
        <v>1715</v>
      </c>
      <c r="S30" s="270">
        <v>50392</v>
      </c>
      <c r="T30" s="270" t="b">
        <f t="shared" si="2"/>
        <v>1</v>
      </c>
      <c r="U30" s="270" t="b">
        <f t="shared" si="3"/>
        <v>1</v>
      </c>
    </row>
    <row r="31" spans="1:21" ht="15" thickBot="1" x14ac:dyDescent="0.35">
      <c r="A31" s="1131" t="s">
        <v>1716</v>
      </c>
      <c r="B31" s="1132">
        <v>50458</v>
      </c>
      <c r="C31" s="707"/>
      <c r="D31" s="55"/>
      <c r="E31" s="56"/>
      <c r="M31" s="404" t="s">
        <v>1716</v>
      </c>
      <c r="N31" s="404">
        <v>50458</v>
      </c>
      <c r="O31" s="270" t="b">
        <f t="shared" si="0"/>
        <v>1</v>
      </c>
      <c r="P31" s="270" t="b">
        <f t="shared" si="1"/>
        <v>1</v>
      </c>
      <c r="R31" s="270" t="s">
        <v>1716</v>
      </c>
      <c r="S31" s="270">
        <v>50458</v>
      </c>
      <c r="T31" s="270" t="b">
        <f t="shared" si="2"/>
        <v>1</v>
      </c>
      <c r="U31" s="270" t="b">
        <f t="shared" si="3"/>
        <v>1</v>
      </c>
    </row>
    <row r="32" spans="1:21" ht="15" thickBot="1" x14ac:dyDescent="0.35">
      <c r="A32" s="1131" t="s">
        <v>1717</v>
      </c>
      <c r="B32" s="1132">
        <v>50393</v>
      </c>
      <c r="C32" s="707"/>
      <c r="D32" s="55"/>
      <c r="E32" s="56"/>
      <c r="M32" s="404" t="s">
        <v>1717</v>
      </c>
      <c r="N32" s="404">
        <v>50393</v>
      </c>
      <c r="O32" s="270" t="b">
        <f t="shared" si="0"/>
        <v>1</v>
      </c>
      <c r="P32" s="270" t="b">
        <f t="shared" si="1"/>
        <v>1</v>
      </c>
      <c r="R32" s="270" t="s">
        <v>1717</v>
      </c>
      <c r="S32" s="270">
        <v>50393</v>
      </c>
      <c r="T32" s="270" t="b">
        <f t="shared" si="2"/>
        <v>1</v>
      </c>
      <c r="U32" s="270" t="b">
        <f t="shared" si="3"/>
        <v>1</v>
      </c>
    </row>
    <row r="33" spans="1:21" ht="15" thickBot="1" x14ac:dyDescent="0.35">
      <c r="A33" s="1131" t="s">
        <v>1718</v>
      </c>
      <c r="B33" s="1132">
        <v>50544</v>
      </c>
      <c r="C33" s="707"/>
      <c r="D33" s="55"/>
      <c r="E33" s="56"/>
      <c r="M33" s="404" t="s">
        <v>1718</v>
      </c>
      <c r="N33" s="404">
        <v>50544</v>
      </c>
      <c r="O33" s="270" t="b">
        <f t="shared" si="0"/>
        <v>1</v>
      </c>
      <c r="P33" s="270" t="b">
        <f t="shared" si="1"/>
        <v>1</v>
      </c>
      <c r="R33" s="270" t="s">
        <v>1718</v>
      </c>
      <c r="S33" s="270">
        <v>50544</v>
      </c>
      <c r="T33" s="270" t="b">
        <f t="shared" si="2"/>
        <v>1</v>
      </c>
      <c r="U33" s="270" t="b">
        <f t="shared" si="3"/>
        <v>1</v>
      </c>
    </row>
    <row r="34" spans="1:21" ht="15" thickBot="1" x14ac:dyDescent="0.35">
      <c r="A34" s="1131" t="s">
        <v>1719</v>
      </c>
      <c r="B34" s="1132">
        <v>50394</v>
      </c>
      <c r="C34" s="707"/>
      <c r="D34" s="55"/>
      <c r="E34" s="56"/>
      <c r="M34" s="404" t="s">
        <v>1719</v>
      </c>
      <c r="N34" s="404">
        <v>50394</v>
      </c>
      <c r="O34" s="270" t="b">
        <f t="shared" si="0"/>
        <v>1</v>
      </c>
      <c r="P34" s="270" t="b">
        <f t="shared" si="1"/>
        <v>1</v>
      </c>
      <c r="R34" s="270" t="s">
        <v>1719</v>
      </c>
      <c r="S34" s="270">
        <v>50394</v>
      </c>
      <c r="T34" s="270" t="b">
        <f t="shared" si="2"/>
        <v>1</v>
      </c>
      <c r="U34" s="270" t="b">
        <f t="shared" si="3"/>
        <v>1</v>
      </c>
    </row>
    <row r="35" spans="1:21" ht="15" thickBot="1" x14ac:dyDescent="0.35">
      <c r="A35" s="1131" t="s">
        <v>1720</v>
      </c>
      <c r="B35" s="1132">
        <v>50395</v>
      </c>
      <c r="C35" s="707"/>
      <c r="D35" s="55"/>
      <c r="E35" s="56"/>
      <c r="M35" s="404" t="s">
        <v>1720</v>
      </c>
      <c r="N35" s="404">
        <v>50395</v>
      </c>
      <c r="O35" s="270" t="b">
        <f t="shared" si="0"/>
        <v>1</v>
      </c>
      <c r="P35" s="270" t="b">
        <f t="shared" si="1"/>
        <v>1</v>
      </c>
      <c r="R35" s="270" t="s">
        <v>1720</v>
      </c>
      <c r="S35" s="270">
        <v>50395</v>
      </c>
      <c r="T35" s="270" t="b">
        <f t="shared" si="2"/>
        <v>1</v>
      </c>
      <c r="U35" s="270" t="b">
        <f t="shared" si="3"/>
        <v>1</v>
      </c>
    </row>
    <row r="36" spans="1:21" ht="15" thickBot="1" x14ac:dyDescent="0.35">
      <c r="A36" s="1131" t="s">
        <v>1005</v>
      </c>
      <c r="B36" s="1132">
        <v>50396</v>
      </c>
      <c r="C36" s="707"/>
      <c r="D36" s="55"/>
      <c r="E36" s="56"/>
      <c r="M36" s="404" t="s">
        <v>1005</v>
      </c>
      <c r="N36" s="404">
        <v>50396</v>
      </c>
      <c r="O36" s="270" t="b">
        <f t="shared" si="0"/>
        <v>1</v>
      </c>
      <c r="P36" s="270" t="b">
        <f t="shared" si="1"/>
        <v>1</v>
      </c>
      <c r="R36" s="270" t="s">
        <v>1005</v>
      </c>
      <c r="S36" s="270">
        <v>50396</v>
      </c>
      <c r="T36" s="270" t="b">
        <f t="shared" si="2"/>
        <v>1</v>
      </c>
      <c r="U36" s="270" t="b">
        <f t="shared" si="3"/>
        <v>1</v>
      </c>
    </row>
    <row r="37" spans="1:21" ht="15" thickBot="1" x14ac:dyDescent="0.35">
      <c r="A37" s="1131" t="s">
        <v>1721</v>
      </c>
      <c r="B37" s="1132">
        <v>50397</v>
      </c>
      <c r="C37" s="707"/>
      <c r="D37" s="55"/>
      <c r="E37" s="56"/>
      <c r="M37" s="404" t="s">
        <v>1721</v>
      </c>
      <c r="N37" s="404">
        <v>50397</v>
      </c>
      <c r="O37" s="270" t="b">
        <f t="shared" si="0"/>
        <v>1</v>
      </c>
      <c r="P37" s="270" t="b">
        <f t="shared" si="1"/>
        <v>1</v>
      </c>
      <c r="R37" s="270" t="s">
        <v>1721</v>
      </c>
      <c r="S37" s="270">
        <v>50397</v>
      </c>
      <c r="T37" s="270" t="b">
        <f t="shared" si="2"/>
        <v>1</v>
      </c>
      <c r="U37" s="270" t="b">
        <f t="shared" si="3"/>
        <v>1</v>
      </c>
    </row>
    <row r="38" spans="1:21" ht="15" thickBot="1" x14ac:dyDescent="0.35">
      <c r="A38" s="1131" t="s">
        <v>1722</v>
      </c>
      <c r="B38" s="1132">
        <v>50550</v>
      </c>
      <c r="C38" s="707"/>
      <c r="D38" s="55"/>
      <c r="E38" s="56"/>
      <c r="M38" s="404" t="s">
        <v>1722</v>
      </c>
      <c r="N38" s="404">
        <v>50550</v>
      </c>
      <c r="O38" s="270" t="b">
        <f t="shared" si="0"/>
        <v>1</v>
      </c>
      <c r="P38" s="270" t="b">
        <f t="shared" si="1"/>
        <v>1</v>
      </c>
      <c r="R38" s="270" t="s">
        <v>1722</v>
      </c>
      <c r="S38" s="270">
        <v>50550</v>
      </c>
      <c r="T38" s="270" t="b">
        <f t="shared" si="2"/>
        <v>1</v>
      </c>
      <c r="U38" s="270" t="b">
        <f t="shared" si="3"/>
        <v>1</v>
      </c>
    </row>
    <row r="39" spans="1:21" ht="15" thickBot="1" x14ac:dyDescent="0.35">
      <c r="A39" s="1131" t="s">
        <v>1723</v>
      </c>
      <c r="B39" s="1132">
        <v>50398</v>
      </c>
      <c r="C39" s="707"/>
      <c r="D39" s="55"/>
      <c r="E39" s="56"/>
      <c r="M39" s="404" t="s">
        <v>1723</v>
      </c>
      <c r="N39" s="404">
        <v>50398</v>
      </c>
      <c r="O39" s="270" t="b">
        <f t="shared" si="0"/>
        <v>1</v>
      </c>
      <c r="P39" s="270" t="b">
        <f t="shared" si="1"/>
        <v>1</v>
      </c>
      <c r="R39" s="270" t="s">
        <v>1723</v>
      </c>
      <c r="S39" s="270">
        <v>50398</v>
      </c>
      <c r="T39" s="270" t="b">
        <f t="shared" si="2"/>
        <v>1</v>
      </c>
      <c r="U39" s="270" t="b">
        <f t="shared" si="3"/>
        <v>1</v>
      </c>
    </row>
    <row r="40" spans="1:21" ht="15" thickBot="1" x14ac:dyDescent="0.35">
      <c r="A40" s="1131" t="s">
        <v>1007</v>
      </c>
      <c r="B40" s="1132">
        <v>50399</v>
      </c>
      <c r="C40" s="707"/>
      <c r="D40" s="55"/>
      <c r="E40" s="56"/>
      <c r="M40" s="404" t="s">
        <v>1007</v>
      </c>
      <c r="N40" s="404">
        <v>50399</v>
      </c>
      <c r="O40" s="270" t="b">
        <f t="shared" si="0"/>
        <v>1</v>
      </c>
      <c r="P40" s="270" t="b">
        <f t="shared" si="1"/>
        <v>1</v>
      </c>
      <c r="R40" s="270" t="s">
        <v>1007</v>
      </c>
      <c r="S40" s="270">
        <v>50399</v>
      </c>
      <c r="T40" s="270" t="b">
        <f t="shared" si="2"/>
        <v>1</v>
      </c>
      <c r="U40" s="270" t="b">
        <f t="shared" si="3"/>
        <v>1</v>
      </c>
    </row>
    <row r="41" spans="1:21" ht="15" thickBot="1" x14ac:dyDescent="0.35">
      <c r="A41" s="1131" t="s">
        <v>1724</v>
      </c>
      <c r="B41" s="1132">
        <v>50400</v>
      </c>
      <c r="C41" s="707"/>
      <c r="D41" s="55"/>
      <c r="E41" s="56"/>
      <c r="M41" s="404" t="s">
        <v>1724</v>
      </c>
      <c r="N41" s="404">
        <v>50400</v>
      </c>
      <c r="O41" s="270" t="b">
        <f t="shared" si="0"/>
        <v>1</v>
      </c>
      <c r="P41" s="270" t="b">
        <f t="shared" si="1"/>
        <v>1</v>
      </c>
      <c r="R41" s="270" t="s">
        <v>1724</v>
      </c>
      <c r="S41" s="270">
        <v>50400</v>
      </c>
      <c r="T41" s="270" t="b">
        <f t="shared" si="2"/>
        <v>1</v>
      </c>
      <c r="U41" s="270" t="b">
        <f t="shared" si="3"/>
        <v>1</v>
      </c>
    </row>
    <row r="42" spans="1:21" ht="15" thickBot="1" x14ac:dyDescent="0.35">
      <c r="A42" s="1131" t="s">
        <v>1725</v>
      </c>
      <c r="B42" s="1132">
        <v>50532</v>
      </c>
      <c r="C42" s="707"/>
      <c r="D42" s="55"/>
      <c r="E42" s="56"/>
      <c r="M42" s="404" t="s">
        <v>1725</v>
      </c>
      <c r="N42" s="404">
        <v>50532</v>
      </c>
      <c r="O42" s="270" t="b">
        <f t="shared" si="0"/>
        <v>1</v>
      </c>
      <c r="P42" s="270" t="b">
        <f t="shared" si="1"/>
        <v>1</v>
      </c>
      <c r="R42" s="270" t="s">
        <v>1725</v>
      </c>
      <c r="S42" s="270">
        <v>50532</v>
      </c>
      <c r="T42" s="270" t="b">
        <f t="shared" si="2"/>
        <v>1</v>
      </c>
      <c r="U42" s="270" t="b">
        <f t="shared" si="3"/>
        <v>1</v>
      </c>
    </row>
    <row r="43" spans="1:21" ht="15" thickBot="1" x14ac:dyDescent="0.35">
      <c r="A43" s="1131" t="s">
        <v>1008</v>
      </c>
      <c r="B43" s="1132">
        <v>50401</v>
      </c>
      <c r="C43" s="707"/>
      <c r="D43" s="55"/>
      <c r="E43" s="56"/>
      <c r="M43" s="404" t="s">
        <v>1008</v>
      </c>
      <c r="N43" s="404">
        <v>50401</v>
      </c>
      <c r="O43" s="270" t="b">
        <f t="shared" si="0"/>
        <v>1</v>
      </c>
      <c r="P43" s="270" t="b">
        <f t="shared" si="1"/>
        <v>1</v>
      </c>
      <c r="R43" s="270" t="s">
        <v>1008</v>
      </c>
      <c r="S43" s="270">
        <v>50401</v>
      </c>
      <c r="T43" s="270" t="b">
        <f t="shared" si="2"/>
        <v>1</v>
      </c>
      <c r="U43" s="270" t="b">
        <f t="shared" si="3"/>
        <v>1</v>
      </c>
    </row>
    <row r="44" spans="1:21" ht="15" thickBot="1" x14ac:dyDescent="0.35">
      <c r="A44" s="1131" t="s">
        <v>1623</v>
      </c>
      <c r="B44" s="1132">
        <v>50402</v>
      </c>
      <c r="C44" s="707"/>
      <c r="D44" s="55"/>
      <c r="E44" s="56"/>
      <c r="M44" s="404" t="s">
        <v>1623</v>
      </c>
      <c r="N44" s="404">
        <v>50402</v>
      </c>
      <c r="O44" s="270" t="b">
        <f t="shared" si="0"/>
        <v>1</v>
      </c>
      <c r="P44" s="270" t="b">
        <f t="shared" si="1"/>
        <v>1</v>
      </c>
      <c r="R44" s="270" t="s">
        <v>1623</v>
      </c>
      <c r="S44" s="270">
        <v>50402</v>
      </c>
      <c r="T44" s="270" t="b">
        <f t="shared" si="2"/>
        <v>1</v>
      </c>
      <c r="U44" s="270" t="b">
        <f t="shared" si="3"/>
        <v>1</v>
      </c>
    </row>
    <row r="45" spans="1:21" ht="15" thickBot="1" x14ac:dyDescent="0.35">
      <c r="A45" s="1131" t="s">
        <v>1726</v>
      </c>
      <c r="B45" s="1132">
        <v>50485</v>
      </c>
      <c r="C45" s="707"/>
      <c r="D45" s="55"/>
      <c r="E45" s="56"/>
      <c r="M45" s="404" t="s">
        <v>1726</v>
      </c>
      <c r="N45" s="404">
        <v>50485</v>
      </c>
      <c r="O45" s="270" t="b">
        <f t="shared" si="0"/>
        <v>1</v>
      </c>
      <c r="P45" s="270" t="b">
        <f t="shared" si="1"/>
        <v>1</v>
      </c>
      <c r="R45" s="270" t="s">
        <v>1726</v>
      </c>
      <c r="S45" s="270">
        <v>50485</v>
      </c>
      <c r="T45" s="270" t="b">
        <f t="shared" si="2"/>
        <v>1</v>
      </c>
      <c r="U45" s="270" t="b">
        <f t="shared" si="3"/>
        <v>1</v>
      </c>
    </row>
    <row r="46" spans="1:21" ht="15" thickBot="1" x14ac:dyDescent="0.35">
      <c r="A46" s="1131" t="s">
        <v>1727</v>
      </c>
      <c r="B46" s="1132">
        <v>50403</v>
      </c>
      <c r="C46" s="707"/>
      <c r="D46" s="55"/>
      <c r="E46" s="56"/>
      <c r="M46" s="404" t="s">
        <v>1727</v>
      </c>
      <c r="N46" s="404">
        <v>50403</v>
      </c>
      <c r="O46" s="270" t="b">
        <f t="shared" si="0"/>
        <v>1</v>
      </c>
      <c r="P46" s="270" t="b">
        <f t="shared" si="1"/>
        <v>1</v>
      </c>
      <c r="R46" s="270" t="s">
        <v>1727</v>
      </c>
      <c r="S46" s="270">
        <v>50403</v>
      </c>
      <c r="T46" s="270" t="b">
        <f t="shared" si="2"/>
        <v>1</v>
      </c>
      <c r="U46" s="270" t="b">
        <f t="shared" si="3"/>
        <v>1</v>
      </c>
    </row>
    <row r="47" spans="1:21" ht="15" thickBot="1" x14ac:dyDescent="0.35">
      <c r="A47" s="1131" t="s">
        <v>1728</v>
      </c>
      <c r="B47" s="1132">
        <v>50404</v>
      </c>
      <c r="C47" s="707"/>
      <c r="D47" s="55"/>
      <c r="E47" s="56"/>
      <c r="M47" s="404" t="s">
        <v>1728</v>
      </c>
      <c r="N47" s="404">
        <v>50404</v>
      </c>
      <c r="O47" s="270" t="b">
        <f t="shared" si="0"/>
        <v>1</v>
      </c>
      <c r="P47" s="270" t="b">
        <f t="shared" si="1"/>
        <v>1</v>
      </c>
      <c r="R47" s="270" t="s">
        <v>1728</v>
      </c>
      <c r="S47" s="270">
        <v>50404</v>
      </c>
      <c r="T47" s="270" t="b">
        <f t="shared" si="2"/>
        <v>1</v>
      </c>
      <c r="U47" s="270" t="b">
        <f t="shared" si="3"/>
        <v>1</v>
      </c>
    </row>
    <row r="48" spans="1:21" ht="15" thickBot="1" x14ac:dyDescent="0.35">
      <c r="A48" s="1131" t="s">
        <v>772</v>
      </c>
      <c r="B48" s="1132">
        <v>50405</v>
      </c>
      <c r="C48" s="707"/>
      <c r="D48" s="55"/>
      <c r="E48" s="56"/>
      <c r="M48" s="404" t="s">
        <v>772</v>
      </c>
      <c r="N48" s="404">
        <v>50405</v>
      </c>
      <c r="O48" s="270" t="b">
        <f t="shared" si="0"/>
        <v>1</v>
      </c>
      <c r="P48" s="270" t="b">
        <f t="shared" si="1"/>
        <v>1</v>
      </c>
      <c r="R48" s="270" t="s">
        <v>772</v>
      </c>
      <c r="S48" s="270">
        <v>50405</v>
      </c>
      <c r="T48" s="270" t="b">
        <f t="shared" si="2"/>
        <v>1</v>
      </c>
      <c r="U48" s="270" t="b">
        <f t="shared" si="3"/>
        <v>1</v>
      </c>
    </row>
    <row r="49" spans="1:21" ht="15" thickBot="1" x14ac:dyDescent="0.35">
      <c r="A49" s="1131" t="s">
        <v>1729</v>
      </c>
      <c r="B49" s="1132">
        <v>50533</v>
      </c>
      <c r="C49" s="707"/>
      <c r="D49" s="55"/>
      <c r="E49" s="56"/>
      <c r="M49" s="404" t="s">
        <v>1729</v>
      </c>
      <c r="N49" s="404">
        <v>50533</v>
      </c>
      <c r="O49" s="270" t="b">
        <f t="shared" si="0"/>
        <v>1</v>
      </c>
      <c r="P49" s="270" t="b">
        <f t="shared" si="1"/>
        <v>1</v>
      </c>
      <c r="R49" s="270" t="s">
        <v>1729</v>
      </c>
      <c r="S49" s="270">
        <v>50533</v>
      </c>
      <c r="T49" s="270" t="b">
        <f t="shared" si="2"/>
        <v>1</v>
      </c>
      <c r="U49" s="270" t="b">
        <f t="shared" si="3"/>
        <v>1</v>
      </c>
    </row>
    <row r="50" spans="1:21" ht="15" thickBot="1" x14ac:dyDescent="0.35">
      <c r="A50" s="1131" t="s">
        <v>1730</v>
      </c>
      <c r="B50" s="1132">
        <v>50406</v>
      </c>
      <c r="C50" s="707"/>
      <c r="D50" s="55"/>
      <c r="E50" s="56"/>
      <c r="M50" s="404" t="s">
        <v>1730</v>
      </c>
      <c r="N50" s="404">
        <v>50406</v>
      </c>
      <c r="O50" s="270" t="b">
        <f t="shared" si="0"/>
        <v>1</v>
      </c>
      <c r="P50" s="270" t="b">
        <f t="shared" si="1"/>
        <v>1</v>
      </c>
      <c r="R50" s="270" t="s">
        <v>1730</v>
      </c>
      <c r="S50" s="270">
        <v>50406</v>
      </c>
      <c r="T50" s="270" t="b">
        <f t="shared" si="2"/>
        <v>1</v>
      </c>
      <c r="U50" s="270" t="b">
        <f t="shared" si="3"/>
        <v>1</v>
      </c>
    </row>
    <row r="51" spans="1:21" ht="15" thickBot="1" x14ac:dyDescent="0.35">
      <c r="A51" s="1131" t="s">
        <v>1731</v>
      </c>
      <c r="B51" s="1132">
        <v>50565</v>
      </c>
      <c r="C51" s="707"/>
      <c r="D51" s="55"/>
      <c r="E51" s="56"/>
      <c r="M51" s="404" t="s">
        <v>1731</v>
      </c>
      <c r="N51" s="404">
        <v>50565</v>
      </c>
      <c r="O51" s="270" t="b">
        <f t="shared" si="0"/>
        <v>1</v>
      </c>
      <c r="P51" s="270" t="b">
        <f t="shared" si="1"/>
        <v>1</v>
      </c>
      <c r="R51" s="270" t="s">
        <v>1731</v>
      </c>
      <c r="S51" s="270">
        <v>50565</v>
      </c>
      <c r="T51" s="270" t="b">
        <f t="shared" si="2"/>
        <v>1</v>
      </c>
      <c r="U51" s="270" t="b">
        <f t="shared" si="3"/>
        <v>1</v>
      </c>
    </row>
    <row r="52" spans="1:21" ht="15" thickBot="1" x14ac:dyDescent="0.35">
      <c r="A52" s="1131" t="s">
        <v>1732</v>
      </c>
      <c r="B52" s="1132">
        <v>50407</v>
      </c>
      <c r="C52" s="707"/>
      <c r="D52" s="55"/>
      <c r="E52" s="56"/>
      <c r="M52" s="404" t="s">
        <v>1732</v>
      </c>
      <c r="N52" s="404">
        <v>50407</v>
      </c>
      <c r="O52" s="270" t="b">
        <f t="shared" si="0"/>
        <v>1</v>
      </c>
      <c r="P52" s="270" t="b">
        <f t="shared" si="1"/>
        <v>1</v>
      </c>
      <c r="R52" s="270" t="s">
        <v>1732</v>
      </c>
      <c r="S52" s="270">
        <v>50407</v>
      </c>
      <c r="T52" s="270" t="b">
        <f t="shared" si="2"/>
        <v>1</v>
      </c>
      <c r="U52" s="270" t="b">
        <f t="shared" si="3"/>
        <v>1</v>
      </c>
    </row>
    <row r="53" spans="1:21" ht="15" thickBot="1" x14ac:dyDescent="0.35">
      <c r="A53" s="1131" t="s">
        <v>1624</v>
      </c>
      <c r="B53" s="1132">
        <v>50486</v>
      </c>
      <c r="C53" s="707"/>
      <c r="D53" s="55"/>
      <c r="E53" s="56"/>
      <c r="M53" s="404" t="s">
        <v>1624</v>
      </c>
      <c r="N53" s="404">
        <v>50486</v>
      </c>
      <c r="O53" s="270" t="b">
        <f t="shared" si="0"/>
        <v>1</v>
      </c>
      <c r="P53" s="270" t="b">
        <f t="shared" si="1"/>
        <v>1</v>
      </c>
      <c r="R53" s="270" t="s">
        <v>1624</v>
      </c>
      <c r="S53" s="270">
        <v>50486</v>
      </c>
      <c r="T53" s="270" t="b">
        <f t="shared" si="2"/>
        <v>1</v>
      </c>
      <c r="U53" s="270" t="b">
        <f t="shared" si="3"/>
        <v>1</v>
      </c>
    </row>
    <row r="54" spans="1:21" ht="15" thickBot="1" x14ac:dyDescent="0.35">
      <c r="A54" s="1131" t="s">
        <v>1733</v>
      </c>
      <c r="B54" s="1132">
        <v>50408</v>
      </c>
      <c r="C54" s="707"/>
      <c r="D54" s="55"/>
      <c r="E54" s="56"/>
      <c r="M54" s="404" t="s">
        <v>1733</v>
      </c>
      <c r="N54" s="404">
        <v>50408</v>
      </c>
      <c r="O54" s="270" t="b">
        <f t="shared" si="0"/>
        <v>1</v>
      </c>
      <c r="P54" s="270" t="b">
        <f t="shared" si="1"/>
        <v>1</v>
      </c>
      <c r="R54" s="270" t="s">
        <v>1733</v>
      </c>
      <c r="S54" s="270">
        <v>50408</v>
      </c>
      <c r="T54" s="270" t="b">
        <f t="shared" si="2"/>
        <v>1</v>
      </c>
      <c r="U54" s="270" t="b">
        <f t="shared" si="3"/>
        <v>1</v>
      </c>
    </row>
    <row r="55" spans="1:21" ht="15" thickBot="1" x14ac:dyDescent="0.35">
      <c r="A55" s="1131" t="s">
        <v>1625</v>
      </c>
      <c r="B55" s="1132">
        <v>50409</v>
      </c>
      <c r="C55" s="707"/>
      <c r="D55" s="55"/>
      <c r="E55" s="56"/>
      <c r="M55" s="404" t="s">
        <v>1625</v>
      </c>
      <c r="N55" s="404">
        <v>50409</v>
      </c>
      <c r="O55" s="270" t="b">
        <f t="shared" si="0"/>
        <v>1</v>
      </c>
      <c r="P55" s="270" t="b">
        <f t="shared" si="1"/>
        <v>1</v>
      </c>
      <c r="R55" s="270" t="s">
        <v>1625</v>
      </c>
      <c r="S55" s="270">
        <v>50409</v>
      </c>
      <c r="T55" s="270" t="b">
        <f t="shared" si="2"/>
        <v>1</v>
      </c>
      <c r="U55" s="270" t="b">
        <f t="shared" si="3"/>
        <v>1</v>
      </c>
    </row>
    <row r="56" spans="1:21" ht="15" thickBot="1" x14ac:dyDescent="0.35">
      <c r="A56" s="1131" t="s">
        <v>1734</v>
      </c>
      <c r="B56" s="1132">
        <v>50410</v>
      </c>
      <c r="C56" s="707"/>
      <c r="D56" s="55"/>
      <c r="E56" s="56"/>
      <c r="M56" s="404" t="s">
        <v>1734</v>
      </c>
      <c r="N56" s="404">
        <v>50410</v>
      </c>
      <c r="O56" s="270" t="b">
        <f t="shared" si="0"/>
        <v>1</v>
      </c>
      <c r="P56" s="270" t="b">
        <f t="shared" si="1"/>
        <v>1</v>
      </c>
      <c r="R56" s="270" t="s">
        <v>1734</v>
      </c>
      <c r="S56" s="270">
        <v>50410</v>
      </c>
      <c r="T56" s="270" t="b">
        <f t="shared" si="2"/>
        <v>1</v>
      </c>
      <c r="U56" s="270" t="b">
        <f t="shared" si="3"/>
        <v>1</v>
      </c>
    </row>
    <row r="57" spans="1:21" ht="15" thickBot="1" x14ac:dyDescent="0.35">
      <c r="A57" s="1131" t="s">
        <v>1735</v>
      </c>
      <c r="B57" s="1132">
        <v>50411</v>
      </c>
      <c r="C57" s="707"/>
      <c r="D57" s="55"/>
      <c r="E57" s="56"/>
      <c r="M57" s="404" t="s">
        <v>1735</v>
      </c>
      <c r="N57" s="404">
        <v>50411</v>
      </c>
      <c r="O57" s="270" t="b">
        <f t="shared" si="0"/>
        <v>1</v>
      </c>
      <c r="P57" s="270" t="b">
        <f t="shared" si="1"/>
        <v>1</v>
      </c>
      <c r="R57" s="270" t="s">
        <v>1735</v>
      </c>
      <c r="S57" s="270">
        <v>50411</v>
      </c>
      <c r="T57" s="270" t="b">
        <f t="shared" si="2"/>
        <v>1</v>
      </c>
      <c r="U57" s="270" t="b">
        <f t="shared" si="3"/>
        <v>1</v>
      </c>
    </row>
    <row r="58" spans="1:21" ht="15" thickBot="1" x14ac:dyDescent="0.35">
      <c r="A58" s="1131" t="s">
        <v>1736</v>
      </c>
      <c r="B58" s="1132">
        <v>50412</v>
      </c>
      <c r="C58" s="707"/>
      <c r="D58" s="55"/>
      <c r="E58" s="56"/>
      <c r="M58" s="404" t="s">
        <v>1736</v>
      </c>
      <c r="N58" s="404">
        <v>50412</v>
      </c>
      <c r="O58" s="270" t="b">
        <f t="shared" si="0"/>
        <v>1</v>
      </c>
      <c r="P58" s="270" t="b">
        <f t="shared" si="1"/>
        <v>1</v>
      </c>
      <c r="R58" s="270" t="s">
        <v>1736</v>
      </c>
      <c r="S58" s="270">
        <v>50412</v>
      </c>
      <c r="T58" s="270" t="b">
        <f t="shared" si="2"/>
        <v>1</v>
      </c>
      <c r="U58" s="270" t="b">
        <f t="shared" si="3"/>
        <v>1</v>
      </c>
    </row>
    <row r="59" spans="1:21" ht="15" thickBot="1" x14ac:dyDescent="0.35">
      <c r="A59" s="1131" t="s">
        <v>1737</v>
      </c>
      <c r="B59" s="1132">
        <v>50488</v>
      </c>
      <c r="C59" s="707"/>
      <c r="D59" s="55"/>
      <c r="E59" s="56"/>
      <c r="M59" s="404" t="s">
        <v>1737</v>
      </c>
      <c r="N59" s="404">
        <v>50488</v>
      </c>
      <c r="O59" s="270" t="b">
        <f t="shared" si="0"/>
        <v>1</v>
      </c>
      <c r="P59" s="270" t="b">
        <f t="shared" si="1"/>
        <v>1</v>
      </c>
      <c r="R59" s="270" t="s">
        <v>1737</v>
      </c>
      <c r="S59" s="270">
        <v>50488</v>
      </c>
      <c r="T59" s="270" t="b">
        <f t="shared" si="2"/>
        <v>1</v>
      </c>
      <c r="U59" s="270" t="b">
        <f t="shared" si="3"/>
        <v>1</v>
      </c>
    </row>
    <row r="60" spans="1:21" ht="15" thickBot="1" x14ac:dyDescent="0.35">
      <c r="A60" s="1131" t="s">
        <v>1738</v>
      </c>
      <c r="B60" s="1132">
        <v>50413</v>
      </c>
      <c r="C60" s="707"/>
      <c r="D60" s="55"/>
      <c r="E60" s="56"/>
      <c r="M60" s="404" t="s">
        <v>1738</v>
      </c>
      <c r="N60" s="404">
        <v>50413</v>
      </c>
      <c r="O60" s="270" t="b">
        <f t="shared" si="0"/>
        <v>1</v>
      </c>
      <c r="P60" s="270" t="b">
        <f t="shared" si="1"/>
        <v>1</v>
      </c>
      <c r="R60" s="270" t="s">
        <v>1738</v>
      </c>
      <c r="S60" s="270">
        <v>50413</v>
      </c>
      <c r="T60" s="270" t="b">
        <f t="shared" si="2"/>
        <v>1</v>
      </c>
      <c r="U60" s="270" t="b">
        <f t="shared" si="3"/>
        <v>1</v>
      </c>
    </row>
    <row r="61" spans="1:21" ht="15" thickBot="1" x14ac:dyDescent="0.35">
      <c r="A61" s="1131" t="s">
        <v>1739</v>
      </c>
      <c r="B61" s="1132">
        <v>50414</v>
      </c>
      <c r="C61" s="707"/>
      <c r="D61" s="55"/>
      <c r="E61" s="56"/>
      <c r="M61" s="404" t="s">
        <v>1739</v>
      </c>
      <c r="N61" s="404">
        <v>50414</v>
      </c>
      <c r="O61" s="270" t="b">
        <f t="shared" si="0"/>
        <v>1</v>
      </c>
      <c r="P61" s="270" t="b">
        <f t="shared" si="1"/>
        <v>1</v>
      </c>
      <c r="R61" s="270" t="s">
        <v>1739</v>
      </c>
      <c r="S61" s="270">
        <v>50414</v>
      </c>
      <c r="T61" s="270" t="b">
        <f t="shared" si="2"/>
        <v>1</v>
      </c>
      <c r="U61" s="270" t="b">
        <f t="shared" si="3"/>
        <v>1</v>
      </c>
    </row>
    <row r="62" spans="1:21" ht="15" thickBot="1" x14ac:dyDescent="0.35">
      <c r="A62" s="1131" t="s">
        <v>1740</v>
      </c>
      <c r="B62" s="1132">
        <v>50415</v>
      </c>
      <c r="C62" s="707"/>
      <c r="D62" s="55"/>
      <c r="E62" s="56"/>
      <c r="M62" s="404" t="s">
        <v>1740</v>
      </c>
      <c r="N62" s="404">
        <v>50415</v>
      </c>
      <c r="O62" s="270" t="b">
        <f t="shared" si="0"/>
        <v>1</v>
      </c>
      <c r="P62" s="270" t="b">
        <f t="shared" si="1"/>
        <v>1</v>
      </c>
      <c r="R62" s="270" t="s">
        <v>1740</v>
      </c>
      <c r="S62" s="270">
        <v>50415</v>
      </c>
      <c r="T62" s="270" t="b">
        <f t="shared" si="2"/>
        <v>1</v>
      </c>
      <c r="U62" s="270" t="b">
        <f t="shared" si="3"/>
        <v>1</v>
      </c>
    </row>
    <row r="63" spans="1:21" ht="15" thickBot="1" x14ac:dyDescent="0.35">
      <c r="A63" s="1131" t="s">
        <v>1741</v>
      </c>
      <c r="B63" s="1132">
        <v>50416</v>
      </c>
      <c r="C63" s="707"/>
      <c r="D63" s="55"/>
      <c r="E63" s="56"/>
      <c r="M63" s="404" t="s">
        <v>1741</v>
      </c>
      <c r="N63" s="404">
        <v>50416</v>
      </c>
      <c r="O63" s="270" t="b">
        <f t="shared" si="0"/>
        <v>1</v>
      </c>
      <c r="P63" s="270" t="b">
        <f t="shared" si="1"/>
        <v>1</v>
      </c>
      <c r="R63" s="270" t="s">
        <v>1741</v>
      </c>
      <c r="S63" s="270">
        <v>50416</v>
      </c>
      <c r="T63" s="270" t="b">
        <f t="shared" si="2"/>
        <v>1</v>
      </c>
      <c r="U63" s="270" t="b">
        <f t="shared" si="3"/>
        <v>1</v>
      </c>
    </row>
    <row r="64" spans="1:21" ht="15" thickBot="1" x14ac:dyDescent="0.35">
      <c r="A64" s="1131" t="s">
        <v>1742</v>
      </c>
      <c r="B64" s="1132">
        <v>50534</v>
      </c>
      <c r="C64" s="707"/>
      <c r="D64" s="55"/>
      <c r="E64" s="56"/>
      <c r="M64" s="404" t="s">
        <v>1742</v>
      </c>
      <c r="N64" s="404">
        <v>50534</v>
      </c>
      <c r="O64" s="270" t="b">
        <f t="shared" si="0"/>
        <v>1</v>
      </c>
      <c r="P64" s="270" t="b">
        <f t="shared" si="1"/>
        <v>1</v>
      </c>
      <c r="R64" s="270" t="s">
        <v>1742</v>
      </c>
      <c r="S64" s="270">
        <v>50534</v>
      </c>
      <c r="T64" s="270" t="b">
        <f t="shared" si="2"/>
        <v>1</v>
      </c>
      <c r="U64" s="270" t="b">
        <f t="shared" si="3"/>
        <v>1</v>
      </c>
    </row>
    <row r="65" spans="1:21" ht="15" thickBot="1" x14ac:dyDescent="0.35">
      <c r="A65" s="1131" t="s">
        <v>1743</v>
      </c>
      <c r="B65" s="1132">
        <v>50417</v>
      </c>
      <c r="C65" s="707"/>
      <c r="D65" s="55"/>
      <c r="E65" s="56"/>
      <c r="M65" s="404" t="s">
        <v>1743</v>
      </c>
      <c r="N65" s="404">
        <v>50417</v>
      </c>
      <c r="O65" s="270" t="b">
        <f t="shared" si="0"/>
        <v>1</v>
      </c>
      <c r="P65" s="270" t="b">
        <f t="shared" si="1"/>
        <v>1</v>
      </c>
      <c r="R65" s="270" t="s">
        <v>1743</v>
      </c>
      <c r="S65" s="270">
        <v>50417</v>
      </c>
      <c r="T65" s="270" t="b">
        <f t="shared" si="2"/>
        <v>1</v>
      </c>
      <c r="U65" s="270" t="b">
        <f t="shared" si="3"/>
        <v>1</v>
      </c>
    </row>
    <row r="66" spans="1:21" x14ac:dyDescent="0.3">
      <c r="A66" s="1133" t="s">
        <v>1744</v>
      </c>
      <c r="B66" s="170">
        <v>50418</v>
      </c>
      <c r="C66" s="707"/>
      <c r="D66" s="55"/>
      <c r="E66" s="56"/>
      <c r="M66" s="404" t="s">
        <v>1744</v>
      </c>
      <c r="N66" s="404">
        <v>50418</v>
      </c>
      <c r="O66" s="270" t="b">
        <f t="shared" si="0"/>
        <v>1</v>
      </c>
      <c r="P66" s="270" t="b">
        <f t="shared" si="1"/>
        <v>1</v>
      </c>
      <c r="R66" s="270" t="s">
        <v>1744</v>
      </c>
      <c r="S66" s="270">
        <v>50418</v>
      </c>
      <c r="T66" s="270" t="b">
        <f t="shared" si="2"/>
        <v>1</v>
      </c>
      <c r="U66" s="270" t="b">
        <f t="shared" si="3"/>
        <v>1</v>
      </c>
    </row>
    <row r="67" spans="1:21" ht="15" thickBot="1" x14ac:dyDescent="0.35">
      <c r="A67" s="1131" t="s">
        <v>1745</v>
      </c>
      <c r="B67" s="1132">
        <v>50546</v>
      </c>
      <c r="C67" s="707"/>
      <c r="D67" s="55"/>
      <c r="E67" s="56"/>
      <c r="M67" s="404" t="s">
        <v>1745</v>
      </c>
      <c r="N67" s="404">
        <v>50546</v>
      </c>
      <c r="O67" s="270" t="b">
        <f t="shared" ref="O67:O92" si="4">EXACT(A67,M67)</f>
        <v>1</v>
      </c>
      <c r="P67" s="270" t="b">
        <f t="shared" ref="P67:P92" si="5">EXACT(B67,N67)</f>
        <v>1</v>
      </c>
      <c r="R67" s="270" t="s">
        <v>1745</v>
      </c>
      <c r="S67" s="270">
        <v>50546</v>
      </c>
      <c r="T67" s="270" t="b">
        <f t="shared" ref="T67:T92" si="6">EXACT(M67,R67)</f>
        <v>1</v>
      </c>
      <c r="U67" s="270" t="b">
        <f t="shared" ref="U67:U92" si="7">EXACT(N67,S67)</f>
        <v>1</v>
      </c>
    </row>
    <row r="68" spans="1:21" ht="15" thickBot="1" x14ac:dyDescent="0.35">
      <c r="A68" s="1131" t="s">
        <v>1746</v>
      </c>
      <c r="B68" s="1132">
        <v>50552</v>
      </c>
      <c r="C68" s="707"/>
      <c r="D68" s="55"/>
      <c r="E68" s="56"/>
      <c r="M68" s="404" t="s">
        <v>1746</v>
      </c>
      <c r="N68" s="404">
        <v>50552</v>
      </c>
      <c r="O68" s="270" t="b">
        <f t="shared" si="4"/>
        <v>1</v>
      </c>
      <c r="P68" s="270" t="b">
        <f t="shared" si="5"/>
        <v>1</v>
      </c>
      <c r="R68" s="270" t="s">
        <v>1746</v>
      </c>
      <c r="S68" s="270">
        <v>50552</v>
      </c>
      <c r="T68" s="270" t="b">
        <f t="shared" si="6"/>
        <v>1</v>
      </c>
      <c r="U68" s="270" t="b">
        <f t="shared" si="7"/>
        <v>1</v>
      </c>
    </row>
    <row r="69" spans="1:21" ht="15" thickBot="1" x14ac:dyDescent="0.35">
      <c r="A69" s="1131" t="s">
        <v>1747</v>
      </c>
      <c r="B69" s="1132">
        <v>50419</v>
      </c>
      <c r="M69" s="404" t="s">
        <v>1747</v>
      </c>
      <c r="N69" s="404">
        <v>50419</v>
      </c>
      <c r="O69" s="270" t="b">
        <f t="shared" si="4"/>
        <v>1</v>
      </c>
      <c r="P69" s="270" t="b">
        <f t="shared" si="5"/>
        <v>1</v>
      </c>
      <c r="R69" s="298" t="s">
        <v>1747</v>
      </c>
      <c r="S69" s="298">
        <v>50419</v>
      </c>
      <c r="T69" s="270" t="b">
        <f t="shared" si="6"/>
        <v>1</v>
      </c>
      <c r="U69" s="270" t="b">
        <f t="shared" si="7"/>
        <v>1</v>
      </c>
    </row>
    <row r="70" spans="1:21" ht="15" thickBot="1" x14ac:dyDescent="0.35">
      <c r="A70" s="1134" t="s">
        <v>1748</v>
      </c>
      <c r="B70" s="1135">
        <v>50441</v>
      </c>
      <c r="M70" s="404" t="s">
        <v>1748</v>
      </c>
      <c r="N70" s="404">
        <v>50441</v>
      </c>
      <c r="O70" s="270" t="b">
        <f t="shared" si="4"/>
        <v>1</v>
      </c>
      <c r="P70" s="270" t="b">
        <f t="shared" si="5"/>
        <v>1</v>
      </c>
      <c r="R70" s="298" t="s">
        <v>1748</v>
      </c>
      <c r="S70" s="298">
        <v>50441</v>
      </c>
      <c r="T70" s="270" t="b">
        <f t="shared" si="6"/>
        <v>1</v>
      </c>
      <c r="U70" s="270" t="b">
        <f t="shared" si="7"/>
        <v>1</v>
      </c>
    </row>
    <row r="71" spans="1:21" x14ac:dyDescent="0.3">
      <c r="A71" s="1136" t="s">
        <v>1009</v>
      </c>
      <c r="B71" s="1132">
        <v>50420</v>
      </c>
      <c r="M71" s="404" t="s">
        <v>1009</v>
      </c>
      <c r="N71" s="404">
        <v>50420</v>
      </c>
      <c r="O71" s="270" t="b">
        <f t="shared" si="4"/>
        <v>1</v>
      </c>
      <c r="P71" s="270" t="b">
        <f t="shared" si="5"/>
        <v>1</v>
      </c>
      <c r="R71" s="298" t="s">
        <v>1009</v>
      </c>
      <c r="S71" s="298">
        <v>50420</v>
      </c>
      <c r="T71" s="270" t="b">
        <f t="shared" si="6"/>
        <v>1</v>
      </c>
      <c r="U71" s="270" t="b">
        <f t="shared" si="7"/>
        <v>1</v>
      </c>
    </row>
    <row r="72" spans="1:21" x14ac:dyDescent="0.3">
      <c r="A72" s="1136" t="s">
        <v>1626</v>
      </c>
      <c r="B72" s="1132">
        <v>50421</v>
      </c>
      <c r="M72" s="404" t="s">
        <v>1626</v>
      </c>
      <c r="N72" s="404">
        <v>50421</v>
      </c>
      <c r="O72" s="270" t="b">
        <f t="shared" si="4"/>
        <v>1</v>
      </c>
      <c r="P72" s="270" t="b">
        <f t="shared" si="5"/>
        <v>1</v>
      </c>
      <c r="R72" s="298" t="s">
        <v>1626</v>
      </c>
      <c r="S72" s="298">
        <v>50421</v>
      </c>
      <c r="T72" s="270" t="b">
        <f t="shared" si="6"/>
        <v>1</v>
      </c>
      <c r="U72" s="270" t="b">
        <f t="shared" si="7"/>
        <v>1</v>
      </c>
    </row>
    <row r="73" spans="1:21" x14ac:dyDescent="0.3">
      <c r="A73" s="1137" t="s">
        <v>1749</v>
      </c>
      <c r="B73" s="1132">
        <v>50422</v>
      </c>
      <c r="M73" s="404" t="s">
        <v>1749</v>
      </c>
      <c r="N73" s="404">
        <v>50422</v>
      </c>
      <c r="O73" s="270" t="b">
        <f t="shared" si="4"/>
        <v>1</v>
      </c>
      <c r="P73" s="270" t="b">
        <f t="shared" si="5"/>
        <v>1</v>
      </c>
      <c r="R73" s="298" t="s">
        <v>1749</v>
      </c>
      <c r="S73" s="298">
        <v>50422</v>
      </c>
      <c r="T73" s="270" t="b">
        <f t="shared" si="6"/>
        <v>1</v>
      </c>
      <c r="U73" s="270" t="b">
        <f t="shared" si="7"/>
        <v>1</v>
      </c>
    </row>
    <row r="74" spans="1:21" x14ac:dyDescent="0.3">
      <c r="A74" s="1133" t="s">
        <v>1750</v>
      </c>
      <c r="B74" s="1132">
        <v>50535</v>
      </c>
      <c r="M74" s="404" t="s">
        <v>1750</v>
      </c>
      <c r="N74" s="404">
        <v>50535</v>
      </c>
      <c r="O74" s="270" t="b">
        <f t="shared" si="4"/>
        <v>1</v>
      </c>
      <c r="P74" s="270" t="b">
        <f t="shared" si="5"/>
        <v>1</v>
      </c>
      <c r="R74" s="298" t="s">
        <v>1750</v>
      </c>
      <c r="S74" s="298">
        <v>50535</v>
      </c>
      <c r="T74" s="270" t="b">
        <f t="shared" si="6"/>
        <v>1</v>
      </c>
      <c r="U74" s="270" t="b">
        <f t="shared" si="7"/>
        <v>1</v>
      </c>
    </row>
    <row r="75" spans="1:21" x14ac:dyDescent="0.3">
      <c r="A75" s="1137" t="s">
        <v>1010</v>
      </c>
      <c r="B75" s="1132">
        <v>50423</v>
      </c>
      <c r="M75" s="404" t="e">
        <v>#N/A</v>
      </c>
      <c r="N75" s="404">
        <v>50423</v>
      </c>
      <c r="O75" s="270" t="e">
        <f t="shared" si="4"/>
        <v>#N/A</v>
      </c>
      <c r="P75" s="270" t="b">
        <f t="shared" si="5"/>
        <v>1</v>
      </c>
      <c r="R75" s="298" t="s">
        <v>1766</v>
      </c>
      <c r="S75" s="298">
        <v>50423</v>
      </c>
      <c r="T75" s="270" t="e">
        <f t="shared" si="6"/>
        <v>#N/A</v>
      </c>
      <c r="U75" s="270" t="b">
        <f t="shared" si="7"/>
        <v>1</v>
      </c>
    </row>
    <row r="76" spans="1:21" x14ac:dyDescent="0.3">
      <c r="A76" s="1137" t="s">
        <v>1751</v>
      </c>
      <c r="B76" s="1132">
        <v>50424</v>
      </c>
      <c r="M76" s="404" t="s">
        <v>1751</v>
      </c>
      <c r="N76" s="404">
        <v>50424</v>
      </c>
      <c r="O76" s="270" t="b">
        <f t="shared" si="4"/>
        <v>1</v>
      </c>
      <c r="P76" s="270" t="b">
        <f t="shared" si="5"/>
        <v>1</v>
      </c>
      <c r="R76" s="298" t="s">
        <v>1751</v>
      </c>
      <c r="S76" s="298">
        <v>50424</v>
      </c>
      <c r="T76" s="270" t="b">
        <f t="shared" si="6"/>
        <v>1</v>
      </c>
      <c r="U76" s="270" t="b">
        <f t="shared" si="7"/>
        <v>1</v>
      </c>
    </row>
    <row r="77" spans="1:21" x14ac:dyDescent="0.3">
      <c r="A77" s="1137" t="s">
        <v>773</v>
      </c>
      <c r="B77" s="1132">
        <v>50425</v>
      </c>
      <c r="M77" s="404" t="s">
        <v>773</v>
      </c>
      <c r="N77" s="404">
        <v>50425</v>
      </c>
      <c r="O77" s="270" t="b">
        <f t="shared" si="4"/>
        <v>1</v>
      </c>
      <c r="P77" s="270" t="b">
        <f t="shared" si="5"/>
        <v>1</v>
      </c>
      <c r="R77" s="298" t="s">
        <v>773</v>
      </c>
      <c r="S77" s="298">
        <v>50425</v>
      </c>
      <c r="T77" s="270" t="b">
        <f t="shared" si="6"/>
        <v>1</v>
      </c>
      <c r="U77" s="270" t="b">
        <f t="shared" si="7"/>
        <v>1</v>
      </c>
    </row>
    <row r="78" spans="1:21" x14ac:dyDescent="0.3">
      <c r="A78" s="1137" t="s">
        <v>1752</v>
      </c>
      <c r="B78" s="1132">
        <v>50426</v>
      </c>
      <c r="M78" s="404" t="s">
        <v>1752</v>
      </c>
      <c r="N78" s="404">
        <v>50426</v>
      </c>
      <c r="O78" s="270" t="b">
        <f t="shared" si="4"/>
        <v>1</v>
      </c>
      <c r="P78" s="270" t="b">
        <f t="shared" si="5"/>
        <v>1</v>
      </c>
      <c r="R78" s="298" t="s">
        <v>1752</v>
      </c>
      <c r="S78" s="298">
        <v>50426</v>
      </c>
      <c r="T78" s="270" t="b">
        <f t="shared" si="6"/>
        <v>1</v>
      </c>
      <c r="U78" s="270" t="b">
        <f t="shared" si="7"/>
        <v>1</v>
      </c>
    </row>
    <row r="79" spans="1:21" x14ac:dyDescent="0.3">
      <c r="A79" s="1133" t="s">
        <v>1753</v>
      </c>
      <c r="B79" s="1132">
        <v>50537</v>
      </c>
      <c r="M79" s="404" t="s">
        <v>1753</v>
      </c>
      <c r="N79" s="404">
        <v>50537</v>
      </c>
      <c r="O79" s="270" t="b">
        <f t="shared" si="4"/>
        <v>1</v>
      </c>
      <c r="P79" s="270" t="b">
        <f t="shared" si="5"/>
        <v>1</v>
      </c>
      <c r="R79" s="298" t="s">
        <v>1753</v>
      </c>
      <c r="S79" s="298">
        <v>50537</v>
      </c>
      <c r="T79" s="270" t="b">
        <f t="shared" si="6"/>
        <v>1</v>
      </c>
      <c r="U79" s="270" t="b">
        <f t="shared" si="7"/>
        <v>1</v>
      </c>
    </row>
    <row r="80" spans="1:21" x14ac:dyDescent="0.3">
      <c r="A80" s="1137" t="s">
        <v>1754</v>
      </c>
      <c r="B80" s="1132">
        <v>50427</v>
      </c>
      <c r="M80" s="404" t="s">
        <v>1754</v>
      </c>
      <c r="N80" s="404">
        <v>50427</v>
      </c>
      <c r="O80" s="270" t="b">
        <f t="shared" si="4"/>
        <v>1</v>
      </c>
      <c r="P80" s="270" t="b">
        <f t="shared" si="5"/>
        <v>1</v>
      </c>
      <c r="R80" s="298" t="s">
        <v>1754</v>
      </c>
      <c r="S80" s="298">
        <v>50427</v>
      </c>
      <c r="T80" s="270" t="b">
        <f t="shared" si="6"/>
        <v>1</v>
      </c>
      <c r="U80" s="270" t="b">
        <f t="shared" si="7"/>
        <v>1</v>
      </c>
    </row>
    <row r="81" spans="1:21" x14ac:dyDescent="0.3">
      <c r="A81" s="1137" t="s">
        <v>1755</v>
      </c>
      <c r="B81" s="1132">
        <v>50428</v>
      </c>
      <c r="M81" s="404" t="s">
        <v>1755</v>
      </c>
      <c r="N81" s="404">
        <v>50428</v>
      </c>
      <c r="O81" s="270" t="b">
        <f t="shared" si="4"/>
        <v>1</v>
      </c>
      <c r="P81" s="270" t="b">
        <f t="shared" si="5"/>
        <v>1</v>
      </c>
      <c r="R81" s="298" t="s">
        <v>1755</v>
      </c>
      <c r="S81" s="298">
        <v>50428</v>
      </c>
      <c r="T81" s="270" t="b">
        <f t="shared" si="6"/>
        <v>1</v>
      </c>
      <c r="U81" s="270" t="b">
        <f t="shared" si="7"/>
        <v>1</v>
      </c>
    </row>
    <row r="82" spans="1:21" x14ac:dyDescent="0.3">
      <c r="A82" s="1137" t="s">
        <v>1756</v>
      </c>
      <c r="B82" s="1132">
        <v>50429</v>
      </c>
      <c r="M82" s="404" t="s">
        <v>1756</v>
      </c>
      <c r="N82" s="404">
        <v>50429</v>
      </c>
      <c r="O82" s="270" t="b">
        <f t="shared" si="4"/>
        <v>1</v>
      </c>
      <c r="P82" s="270" t="b">
        <f t="shared" si="5"/>
        <v>1</v>
      </c>
      <c r="R82" s="298" t="s">
        <v>1756</v>
      </c>
      <c r="S82" s="298">
        <v>50429</v>
      </c>
      <c r="T82" s="270" t="b">
        <f t="shared" si="6"/>
        <v>1</v>
      </c>
      <c r="U82" s="270" t="b">
        <f t="shared" si="7"/>
        <v>1</v>
      </c>
    </row>
    <row r="83" spans="1:21" x14ac:dyDescent="0.3">
      <c r="A83" s="1137" t="s">
        <v>774</v>
      </c>
      <c r="B83" s="1132">
        <v>50431</v>
      </c>
      <c r="M83" s="404" t="s">
        <v>774</v>
      </c>
      <c r="N83" s="404">
        <v>50431</v>
      </c>
      <c r="O83" s="270" t="b">
        <f t="shared" si="4"/>
        <v>1</v>
      </c>
      <c r="P83" s="270" t="b">
        <f t="shared" si="5"/>
        <v>1</v>
      </c>
      <c r="R83" s="298" t="s">
        <v>774</v>
      </c>
      <c r="S83" s="298">
        <v>50431</v>
      </c>
      <c r="T83" s="270" t="b">
        <f t="shared" si="6"/>
        <v>1</v>
      </c>
      <c r="U83" s="270" t="b">
        <f t="shared" si="7"/>
        <v>1</v>
      </c>
    </row>
    <row r="84" spans="1:21" x14ac:dyDescent="0.3">
      <c r="A84" s="1137" t="s">
        <v>1757</v>
      </c>
      <c r="B84" s="1132">
        <v>50430</v>
      </c>
      <c r="M84" s="404" t="s">
        <v>1757</v>
      </c>
      <c r="N84" s="404">
        <v>50430</v>
      </c>
      <c r="O84" s="270" t="b">
        <f t="shared" si="4"/>
        <v>1</v>
      </c>
      <c r="P84" s="270" t="b">
        <f t="shared" si="5"/>
        <v>1</v>
      </c>
      <c r="R84" s="298" t="s">
        <v>1757</v>
      </c>
      <c r="S84" s="298">
        <v>50430</v>
      </c>
      <c r="T84" s="270" t="b">
        <f t="shared" si="6"/>
        <v>1</v>
      </c>
      <c r="U84" s="270" t="b">
        <f t="shared" si="7"/>
        <v>1</v>
      </c>
    </row>
    <row r="85" spans="1:21" x14ac:dyDescent="0.3">
      <c r="A85" s="1137" t="s">
        <v>1627</v>
      </c>
      <c r="B85" s="1132">
        <v>50432</v>
      </c>
      <c r="M85" s="404" t="s">
        <v>1627</v>
      </c>
      <c r="N85" s="404">
        <v>50432</v>
      </c>
      <c r="O85" s="270" t="b">
        <f t="shared" si="4"/>
        <v>1</v>
      </c>
      <c r="P85" s="270" t="b">
        <f t="shared" si="5"/>
        <v>1</v>
      </c>
      <c r="R85" s="298" t="s">
        <v>1627</v>
      </c>
      <c r="S85" s="298">
        <v>50432</v>
      </c>
      <c r="T85" s="270" t="b">
        <f t="shared" si="6"/>
        <v>1</v>
      </c>
      <c r="U85" s="270" t="b">
        <f t="shared" si="7"/>
        <v>1</v>
      </c>
    </row>
    <row r="86" spans="1:21" x14ac:dyDescent="0.3">
      <c r="A86" s="1137" t="s">
        <v>1758</v>
      </c>
      <c r="B86" s="1132">
        <v>50453</v>
      </c>
      <c r="M86" s="404" t="s">
        <v>1758</v>
      </c>
      <c r="N86" s="404">
        <v>50453</v>
      </c>
      <c r="O86" s="270" t="b">
        <f t="shared" si="4"/>
        <v>1</v>
      </c>
      <c r="P86" s="270" t="b">
        <f t="shared" si="5"/>
        <v>1</v>
      </c>
      <c r="R86" s="298" t="s">
        <v>1758</v>
      </c>
      <c r="S86" s="298">
        <v>50453</v>
      </c>
      <c r="T86" s="270" t="b">
        <f t="shared" si="6"/>
        <v>1</v>
      </c>
      <c r="U86" s="270" t="b">
        <f t="shared" si="7"/>
        <v>1</v>
      </c>
    </row>
    <row r="87" spans="1:21" x14ac:dyDescent="0.3">
      <c r="A87" s="1137" t="s">
        <v>1759</v>
      </c>
      <c r="B87" s="1132">
        <v>50433</v>
      </c>
      <c r="M87" s="404" t="s">
        <v>1759</v>
      </c>
      <c r="N87" s="404">
        <v>50433</v>
      </c>
      <c r="O87" s="270" t="b">
        <f t="shared" si="4"/>
        <v>1</v>
      </c>
      <c r="P87" s="270" t="b">
        <f t="shared" si="5"/>
        <v>1</v>
      </c>
      <c r="R87" s="298" t="s">
        <v>1759</v>
      </c>
      <c r="S87" s="298">
        <v>50433</v>
      </c>
      <c r="T87" s="270" t="b">
        <f t="shared" si="6"/>
        <v>1</v>
      </c>
      <c r="U87" s="270" t="b">
        <f t="shared" si="7"/>
        <v>1</v>
      </c>
    </row>
    <row r="88" spans="1:21" x14ac:dyDescent="0.3">
      <c r="A88" s="1137" t="s">
        <v>1760</v>
      </c>
      <c r="B88" s="1132">
        <v>50435</v>
      </c>
      <c r="M88" s="404" t="s">
        <v>1760</v>
      </c>
      <c r="N88" s="404">
        <v>50435</v>
      </c>
      <c r="O88" s="270" t="b">
        <f t="shared" si="4"/>
        <v>1</v>
      </c>
      <c r="P88" s="270" t="b">
        <f t="shared" si="5"/>
        <v>1</v>
      </c>
      <c r="R88" s="298" t="s">
        <v>1760</v>
      </c>
      <c r="S88" s="298">
        <v>50435</v>
      </c>
      <c r="T88" s="270" t="b">
        <f t="shared" si="6"/>
        <v>1</v>
      </c>
      <c r="U88" s="270" t="b">
        <f t="shared" si="7"/>
        <v>1</v>
      </c>
    </row>
    <row r="89" spans="1:21" x14ac:dyDescent="0.3">
      <c r="A89" s="1137" t="s">
        <v>1761</v>
      </c>
      <c r="B89" s="1132">
        <v>50436</v>
      </c>
      <c r="M89" s="404" t="s">
        <v>1761</v>
      </c>
      <c r="N89" s="404">
        <v>50436</v>
      </c>
      <c r="O89" s="270" t="b">
        <f t="shared" si="4"/>
        <v>1</v>
      </c>
      <c r="P89" s="270" t="b">
        <f t="shared" si="5"/>
        <v>1</v>
      </c>
      <c r="R89" s="298" t="s">
        <v>1761</v>
      </c>
      <c r="S89" s="298">
        <v>50436</v>
      </c>
      <c r="T89" s="270" t="b">
        <f t="shared" si="6"/>
        <v>1</v>
      </c>
      <c r="U89" s="270" t="b">
        <f t="shared" si="7"/>
        <v>1</v>
      </c>
    </row>
    <row r="90" spans="1:21" x14ac:dyDescent="0.3">
      <c r="A90" s="1137" t="s">
        <v>1628</v>
      </c>
      <c r="B90" s="1132">
        <v>50499</v>
      </c>
      <c r="M90" s="404" t="s">
        <v>1628</v>
      </c>
      <c r="N90" s="404">
        <v>50499</v>
      </c>
      <c r="O90" s="270" t="b">
        <f t="shared" si="4"/>
        <v>1</v>
      </c>
      <c r="P90" s="270" t="b">
        <f t="shared" si="5"/>
        <v>1</v>
      </c>
      <c r="R90" s="298" t="s">
        <v>1628</v>
      </c>
      <c r="S90" s="298">
        <v>50499</v>
      </c>
      <c r="T90" s="270" t="b">
        <f t="shared" si="6"/>
        <v>1</v>
      </c>
      <c r="U90" s="270" t="b">
        <f t="shared" si="7"/>
        <v>1</v>
      </c>
    </row>
    <row r="91" spans="1:21" x14ac:dyDescent="0.3">
      <c r="A91" s="1137" t="s">
        <v>1762</v>
      </c>
      <c r="B91" s="1132">
        <v>50438</v>
      </c>
      <c r="M91" s="404" t="s">
        <v>1762</v>
      </c>
      <c r="N91" s="404">
        <v>50438</v>
      </c>
      <c r="O91" s="270" t="b">
        <f t="shared" si="4"/>
        <v>1</v>
      </c>
      <c r="P91" s="270" t="b">
        <f t="shared" si="5"/>
        <v>1</v>
      </c>
      <c r="R91" s="298" t="s">
        <v>1762</v>
      </c>
      <c r="S91" s="298">
        <v>50438</v>
      </c>
      <c r="T91" s="270" t="b">
        <f t="shared" si="6"/>
        <v>1</v>
      </c>
      <c r="U91" s="270" t="b">
        <f t="shared" si="7"/>
        <v>1</v>
      </c>
    </row>
    <row r="92" spans="1:21" x14ac:dyDescent="0.3">
      <c r="A92" s="1137" t="s">
        <v>1763</v>
      </c>
      <c r="B92" s="1132">
        <v>50439</v>
      </c>
      <c r="M92" s="404" t="s">
        <v>1763</v>
      </c>
      <c r="N92" s="404">
        <v>50439</v>
      </c>
      <c r="O92" s="270" t="b">
        <f t="shared" si="4"/>
        <v>1</v>
      </c>
      <c r="P92" s="270" t="b">
        <f t="shared" si="5"/>
        <v>1</v>
      </c>
      <c r="R92" s="298" t="s">
        <v>1763</v>
      </c>
      <c r="S92" s="298">
        <v>50439</v>
      </c>
      <c r="T92" s="270" t="b">
        <f t="shared" si="6"/>
        <v>1</v>
      </c>
      <c r="U92" s="270" t="b">
        <f t="shared" si="7"/>
        <v>1</v>
      </c>
    </row>
  </sheetData>
  <sheetProtection algorithmName="SHA-512" hashValue="5X/MQcsIdevWN2ypELi4iYyu8pky6TAxK8ycV7+Sp9/ufjjwVguFVjJ1V0QkOZ68MMswcTumiZL7bTNK5fpTig==" saltValue="9qiUw3kyUDMDjBJh4i1Ilg=="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2" sqref="B2"/>
    </sheetView>
  </sheetViews>
  <sheetFormatPr defaultColWidth="9.109375" defaultRowHeight="14.4" x14ac:dyDescent="0.3"/>
  <cols>
    <col min="1" max="1" width="45.109375" style="423" customWidth="1"/>
    <col min="2" max="2" width="36.44140625" style="423" customWidth="1"/>
    <col min="3" max="3" width="9.109375" style="423"/>
    <col min="4" max="4" width="1.33203125" style="423" customWidth="1"/>
    <col min="5" max="5" width="37.5546875" style="423" customWidth="1"/>
    <col min="6" max="6" width="18.109375" style="423" customWidth="1"/>
    <col min="7" max="7" width="16.109375" style="423" customWidth="1"/>
    <col min="8" max="8" width="3.109375" style="423" customWidth="1"/>
    <col min="9" max="16384" width="9.109375" style="423"/>
  </cols>
  <sheetData>
    <row r="1" spans="1:8" x14ac:dyDescent="0.3">
      <c r="A1" s="424"/>
      <c r="B1" s="425"/>
      <c r="C1" s="426"/>
      <c r="D1" s="426"/>
      <c r="E1" s="427"/>
      <c r="F1" s="426"/>
      <c r="G1" s="426"/>
      <c r="H1" s="426"/>
    </row>
    <row r="2" spans="1:8" x14ac:dyDescent="0.3">
      <c r="A2" s="428" t="s">
        <v>1014</v>
      </c>
      <c r="B2" s="429" t="str">
        <f>+'Unit Data from Audit Worksheet'!D2</f>
        <v>Select Unit Name from Drop Down List</v>
      </c>
      <c r="C2" s="426"/>
      <c r="D2" s="426"/>
      <c r="E2" s="427"/>
      <c r="F2" s="426"/>
      <c r="G2" s="426"/>
      <c r="H2" s="426"/>
    </row>
    <row r="3" spans="1:8" x14ac:dyDescent="0.3">
      <c r="A3" s="428" t="s">
        <v>1117</v>
      </c>
      <c r="B3" s="426" t="e">
        <f>+'Unit Data from Audit Worksheet'!D3</f>
        <v>#N/A</v>
      </c>
      <c r="C3" s="426"/>
      <c r="D3" s="426"/>
      <c r="E3" s="427"/>
      <c r="F3" s="426"/>
      <c r="G3" s="426"/>
      <c r="H3" s="426"/>
    </row>
    <row r="4" spans="1:8" x14ac:dyDescent="0.3">
      <c r="A4" s="426"/>
      <c r="B4" s="426"/>
      <c r="C4" s="426"/>
      <c r="D4" s="426"/>
      <c r="E4" s="427"/>
      <c r="F4" s="426"/>
      <c r="G4" s="426"/>
      <c r="H4" s="426"/>
    </row>
    <row r="5" spans="1:8" x14ac:dyDescent="0.3">
      <c r="A5" s="1328" t="s">
        <v>1015</v>
      </c>
      <c r="B5" s="1328"/>
      <c r="C5" s="1328"/>
      <c r="D5" s="426"/>
      <c r="E5" s="1329" t="s">
        <v>1016</v>
      </c>
      <c r="F5" s="1329"/>
      <c r="G5" s="426"/>
      <c r="H5" s="426"/>
    </row>
    <row r="6" spans="1:8" ht="15" thickBot="1" x14ac:dyDescent="0.35">
      <c r="A6" s="430"/>
      <c r="B6" s="431"/>
      <c r="C6" s="430"/>
      <c r="D6" s="424"/>
      <c r="E6" s="430"/>
      <c r="F6" s="431"/>
      <c r="G6" s="431"/>
      <c r="H6" s="426"/>
    </row>
    <row r="7" spans="1:8" ht="15" thickBot="1" x14ac:dyDescent="0.35">
      <c r="A7" s="432" t="s">
        <v>1017</v>
      </c>
      <c r="B7" s="433">
        <v>0.03</v>
      </c>
      <c r="C7" s="433"/>
      <c r="D7" s="433"/>
      <c r="E7" s="433"/>
      <c r="F7" s="433"/>
      <c r="G7" s="433"/>
      <c r="H7" s="433"/>
    </row>
    <row r="8" spans="1:8" ht="15" thickBot="1" x14ac:dyDescent="0.35">
      <c r="A8" s="426" t="s">
        <v>1370</v>
      </c>
      <c r="B8" s="434" t="e">
        <f>HLOOKUP(B2,'2020 Data(H)'!F1:CR362,353,FALSE)</f>
        <v>#N/A</v>
      </c>
      <c r="C8" s="435"/>
      <c r="D8" s="435"/>
      <c r="E8" s="435"/>
      <c r="F8" s="426"/>
      <c r="G8" s="426"/>
      <c r="H8" s="426"/>
    </row>
    <row r="9" spans="1:8" ht="15" thickBot="1" x14ac:dyDescent="0.35">
      <c r="A9" s="426" t="s">
        <v>1019</v>
      </c>
      <c r="B9" s="436" t="e">
        <f>B8*B7</f>
        <v>#N/A</v>
      </c>
      <c r="C9" s="437"/>
      <c r="D9" s="437"/>
      <c r="E9" s="437"/>
      <c r="F9" s="426"/>
      <c r="G9" s="426"/>
      <c r="H9" s="426"/>
    </row>
    <row r="10" spans="1:8" ht="15" thickBot="1" x14ac:dyDescent="0.35">
      <c r="A10" s="426"/>
      <c r="B10" s="426"/>
      <c r="C10" s="426"/>
      <c r="D10" s="426"/>
      <c r="E10" s="426"/>
      <c r="F10" s="426"/>
      <c r="G10" s="426"/>
      <c r="H10" s="426"/>
    </row>
    <row r="11" spans="1:8" ht="15" thickBot="1" x14ac:dyDescent="0.35">
      <c r="A11" s="432" t="s">
        <v>1020</v>
      </c>
      <c r="B11" s="433">
        <v>0.05</v>
      </c>
      <c r="C11" s="433"/>
      <c r="D11" s="433"/>
      <c r="E11" s="433"/>
      <c r="F11" s="433"/>
      <c r="G11" s="433"/>
      <c r="H11" s="433"/>
    </row>
    <row r="12" spans="1:8" ht="15" thickBot="1" x14ac:dyDescent="0.35">
      <c r="A12" s="426" t="s">
        <v>1371</v>
      </c>
      <c r="B12" s="438" t="e">
        <f>HLOOKUP(B2,'2020 Data(H)'!F1:CR362,55,FALSE)</f>
        <v>#N/A</v>
      </c>
      <c r="C12" s="439"/>
      <c r="D12" s="439"/>
      <c r="E12" s="439"/>
      <c r="F12" s="426"/>
      <c r="G12" s="426"/>
      <c r="H12" s="426"/>
    </row>
    <row r="13" spans="1:8" ht="15" thickBot="1" x14ac:dyDescent="0.35">
      <c r="A13" s="426" t="s">
        <v>1019</v>
      </c>
      <c r="B13" s="436" t="e">
        <f>B12*B11</f>
        <v>#N/A</v>
      </c>
      <c r="C13" s="437"/>
      <c r="D13" s="437"/>
      <c r="E13" s="437"/>
      <c r="F13" s="426"/>
      <c r="G13" s="426"/>
      <c r="H13" s="426"/>
    </row>
    <row r="14" spans="1:8" ht="15" thickBot="1" x14ac:dyDescent="0.35">
      <c r="A14" s="426"/>
      <c r="B14" s="426"/>
      <c r="C14" s="426"/>
      <c r="D14" s="426"/>
      <c r="E14" s="440" t="s">
        <v>1021</v>
      </c>
      <c r="F14" s="441">
        <f>+Import!L177</f>
        <v>0</v>
      </c>
      <c r="G14" s="442"/>
      <c r="H14" s="426"/>
    </row>
    <row r="15" spans="1:8" x14ac:dyDescent="0.3">
      <c r="A15" s="426"/>
      <c r="B15" s="426"/>
      <c r="C15" s="426"/>
      <c r="D15" s="426"/>
      <c r="E15" s="426"/>
      <c r="F15" s="426"/>
      <c r="G15" s="426"/>
      <c r="H15" s="443"/>
    </row>
    <row r="16" spans="1:8" x14ac:dyDescent="0.3">
      <c r="A16" s="426"/>
      <c r="B16" s="440"/>
      <c r="C16" s="426"/>
      <c r="D16" s="426"/>
      <c r="E16" s="426"/>
      <c r="F16" s="426"/>
      <c r="G16" s="426"/>
      <c r="H16" s="426"/>
    </row>
    <row r="17" spans="1:8" x14ac:dyDescent="0.3">
      <c r="A17" s="430"/>
      <c r="B17" s="431"/>
      <c r="C17" s="430"/>
      <c r="D17" s="424"/>
      <c r="E17" s="430"/>
      <c r="F17" s="431"/>
      <c r="G17" s="431"/>
      <c r="H17" s="426"/>
    </row>
    <row r="18" spans="1:8" ht="15" thickBot="1" x14ac:dyDescent="0.35">
      <c r="A18" s="444" t="s">
        <v>1022</v>
      </c>
      <c r="B18" s="426"/>
      <c r="C18" s="426"/>
      <c r="D18" s="426"/>
      <c r="E18" s="444" t="s">
        <v>1022</v>
      </c>
      <c r="F18" s="428" t="s">
        <v>1023</v>
      </c>
      <c r="G18" s="428" t="s">
        <v>1024</v>
      </c>
      <c r="H18" s="426"/>
    </row>
    <row r="19" spans="1:8" ht="15" thickBot="1" x14ac:dyDescent="0.35">
      <c r="A19" s="426" t="s">
        <v>1018</v>
      </c>
      <c r="B19" s="434" t="e">
        <f>+B8</f>
        <v>#N/A</v>
      </c>
      <c r="C19" s="435"/>
      <c r="D19" s="435"/>
      <c r="E19" s="426" t="s">
        <v>1025</v>
      </c>
      <c r="F19" s="445">
        <f>+Import!L229</f>
        <v>0</v>
      </c>
      <c r="G19" s="446" t="e">
        <f>+B21</f>
        <v>#N/A</v>
      </c>
      <c r="H19" s="426"/>
    </row>
    <row r="20" spans="1:8" ht="15" thickBot="1" x14ac:dyDescent="0.35">
      <c r="A20" s="426" t="s">
        <v>1026</v>
      </c>
      <c r="B20" s="447">
        <f>+Import!L243</f>
        <v>0</v>
      </c>
      <c r="C20" s="426"/>
      <c r="D20" s="426"/>
      <c r="E20" s="426"/>
      <c r="F20" s="448"/>
      <c r="G20" s="426"/>
      <c r="H20" s="426"/>
    </row>
    <row r="21" spans="1:8" ht="15" thickBot="1" x14ac:dyDescent="0.35">
      <c r="A21" s="426" t="s">
        <v>1019</v>
      </c>
      <c r="B21" s="436" t="e">
        <f>ROUND((B19/100)*B20,0)</f>
        <v>#N/A</v>
      </c>
      <c r="C21" s="449"/>
      <c r="D21" s="437"/>
      <c r="E21" s="426"/>
      <c r="F21" s="426"/>
      <c r="G21" s="426"/>
      <c r="H21" s="426"/>
    </row>
    <row r="22" spans="1:8" ht="15" thickBot="1" x14ac:dyDescent="0.35">
      <c r="A22" s="426"/>
      <c r="B22" s="426"/>
      <c r="C22" s="450"/>
      <c r="D22" s="450"/>
      <c r="E22" s="426"/>
      <c r="F22" s="426"/>
      <c r="G22" s="426"/>
      <c r="H22" s="426"/>
    </row>
    <row r="23" spans="1:8" ht="15" thickBot="1" x14ac:dyDescent="0.35">
      <c r="A23" s="440"/>
      <c r="B23" s="451"/>
      <c r="C23" s="426"/>
      <c r="D23" s="426"/>
      <c r="E23" s="452" t="s">
        <v>1027</v>
      </c>
      <c r="F23" s="436">
        <f>IF(F19=0,F14-F19,F14-MAX(F19,G19))</f>
        <v>0</v>
      </c>
      <c r="G23" s="453"/>
      <c r="H23" s="437"/>
    </row>
    <row r="24" spans="1:8" x14ac:dyDescent="0.3">
      <c r="A24" s="426"/>
      <c r="B24" s="426"/>
      <c r="C24" s="426"/>
      <c r="D24" s="426"/>
      <c r="E24" s="426"/>
      <c r="F24" s="449"/>
      <c r="G24" s="449"/>
      <c r="H24" s="437"/>
    </row>
    <row r="25" spans="1:8" x14ac:dyDescent="0.3">
      <c r="A25" s="430"/>
      <c r="B25" s="431"/>
      <c r="C25" s="430"/>
      <c r="D25" s="424"/>
      <c r="E25" s="430"/>
      <c r="F25" s="431"/>
      <c r="G25" s="431"/>
      <c r="H25" s="426"/>
    </row>
    <row r="26" spans="1:8" ht="15" thickBot="1" x14ac:dyDescent="0.35">
      <c r="A26" s="426"/>
      <c r="B26" s="426"/>
      <c r="C26" s="426"/>
      <c r="D26" s="444"/>
      <c r="E26" s="444" t="s">
        <v>1028</v>
      </c>
      <c r="F26" s="444"/>
      <c r="G26" s="444"/>
      <c r="H26" s="444"/>
    </row>
    <row r="27" spans="1:8" ht="15" thickBot="1" x14ac:dyDescent="0.35">
      <c r="A27" s="426"/>
      <c r="B27" s="426"/>
      <c r="C27" s="426"/>
      <c r="D27" s="450"/>
      <c r="E27" s="426" t="s">
        <v>1029</v>
      </c>
      <c r="F27" s="454" t="e">
        <f>MAX(B9,B13)</f>
        <v>#N/A</v>
      </c>
      <c r="G27" s="450"/>
      <c r="H27" s="426"/>
    </row>
    <row r="28" spans="1:8" ht="15" thickBot="1" x14ac:dyDescent="0.35">
      <c r="A28" s="426"/>
      <c r="B28" s="426"/>
      <c r="C28" s="426"/>
      <c r="D28" s="450"/>
      <c r="E28" s="426"/>
      <c r="F28" s="450"/>
      <c r="G28" s="450"/>
      <c r="H28" s="426"/>
    </row>
    <row r="29" spans="1:8" ht="33.75" customHeight="1" x14ac:dyDescent="0.3">
      <c r="A29" s="426"/>
      <c r="B29" s="426"/>
      <c r="C29" s="426"/>
      <c r="D29" s="455"/>
      <c r="E29" s="426" t="s">
        <v>1030</v>
      </c>
      <c r="F29" s="456" t="e">
        <f>IF(F23&lt;=F27,"Yes", "No, unit exceeds limit by:")</f>
        <v>#N/A</v>
      </c>
      <c r="G29" s="426"/>
      <c r="H29" s="426"/>
    </row>
    <row r="30" spans="1:8" ht="15" thickBot="1" x14ac:dyDescent="0.35">
      <c r="A30" s="426"/>
      <c r="B30" s="426"/>
      <c r="C30" s="426"/>
      <c r="D30" s="455"/>
      <c r="E30" s="426"/>
      <c r="F30" s="457" t="e">
        <f>IF(F23-F27&lt;=0,0,F23-F27)</f>
        <v>#N/A</v>
      </c>
      <c r="G30" s="458"/>
      <c r="H30" s="426"/>
    </row>
    <row r="31" spans="1:8" ht="15" thickBot="1" x14ac:dyDescent="0.35">
      <c r="A31" s="426"/>
      <c r="B31" s="426"/>
      <c r="C31" s="426"/>
      <c r="D31" s="426"/>
      <c r="E31" s="426"/>
      <c r="F31" s="426"/>
      <c r="G31" s="426"/>
      <c r="H31" s="426"/>
    </row>
    <row r="32" spans="1:8" x14ac:dyDescent="0.3">
      <c r="A32" s="426"/>
      <c r="B32" s="426"/>
      <c r="C32" s="426"/>
      <c r="D32" s="426"/>
      <c r="E32" s="452" t="s">
        <v>1031</v>
      </c>
      <c r="F32" s="459">
        <f>IF(F19=0,0,F19-G19)</f>
        <v>0</v>
      </c>
      <c r="G32" s="426"/>
      <c r="H32" s="426"/>
    </row>
    <row r="33" spans="1:7" ht="15" thickBot="1" x14ac:dyDescent="0.35">
      <c r="A33" s="426"/>
      <c r="B33" s="426"/>
      <c r="C33" s="426"/>
      <c r="D33" s="426"/>
      <c r="E33" s="426"/>
      <c r="F33" s="460" t="s">
        <v>703</v>
      </c>
      <c r="G33" s="426"/>
    </row>
    <row r="34" spans="1:7" x14ac:dyDescent="0.3">
      <c r="A34" s="424"/>
      <c r="B34" s="426"/>
      <c r="C34" s="426"/>
      <c r="D34" s="426"/>
      <c r="E34" s="424" t="s">
        <v>1032</v>
      </c>
      <c r="F34" s="426"/>
      <c r="G34" s="426"/>
    </row>
    <row r="35" spans="1:7" x14ac:dyDescent="0.3">
      <c r="A35" s="461"/>
      <c r="B35" s="461"/>
      <c r="C35" s="461"/>
      <c r="D35" s="426"/>
      <c r="E35" s="1330" t="s">
        <v>1372</v>
      </c>
      <c r="F35" s="1331"/>
      <c r="G35" s="1332"/>
    </row>
    <row r="36" spans="1:7" x14ac:dyDescent="0.3">
      <c r="A36" s="461"/>
      <c r="B36" s="461"/>
      <c r="C36" s="461"/>
      <c r="D36" s="426"/>
      <c r="E36" s="1333"/>
      <c r="F36" s="1334"/>
      <c r="G36" s="1335"/>
    </row>
    <row r="37" spans="1:7" x14ac:dyDescent="0.3">
      <c r="A37" s="461"/>
      <c r="B37" s="461"/>
      <c r="C37" s="461"/>
      <c r="D37" s="426"/>
      <c r="E37" s="1333"/>
      <c r="F37" s="1334"/>
      <c r="G37" s="1335"/>
    </row>
    <row r="38" spans="1:7" x14ac:dyDescent="0.3">
      <c r="A38" s="461"/>
      <c r="B38" s="461"/>
      <c r="C38" s="461"/>
      <c r="D38" s="426"/>
      <c r="E38" s="1336"/>
      <c r="F38" s="1337"/>
      <c r="G38" s="1338"/>
    </row>
    <row r="39" spans="1:7" x14ac:dyDescent="0.3">
      <c r="A39" s="461"/>
      <c r="B39" s="461"/>
      <c r="C39" s="461"/>
      <c r="D39" s="426"/>
      <c r="E39" s="462"/>
      <c r="F39" s="462"/>
      <c r="G39" s="462"/>
    </row>
    <row r="40" spans="1:7" x14ac:dyDescent="0.3">
      <c r="A40" s="461"/>
      <c r="B40" s="461"/>
      <c r="C40" s="461"/>
      <c r="D40" s="426"/>
      <c r="E40" s="1330" t="s">
        <v>1373</v>
      </c>
      <c r="F40" s="1331"/>
      <c r="G40" s="1332"/>
    </row>
    <row r="41" spans="1:7" x14ac:dyDescent="0.3">
      <c r="A41" s="426"/>
      <c r="B41" s="426"/>
      <c r="C41" s="426"/>
      <c r="D41" s="426"/>
      <c r="E41" s="1333"/>
      <c r="F41" s="1334"/>
      <c r="G41" s="1335"/>
    </row>
    <row r="42" spans="1:7" x14ac:dyDescent="0.3">
      <c r="A42" s="426"/>
      <c r="B42" s="426"/>
      <c r="C42" s="426"/>
      <c r="D42" s="426"/>
      <c r="E42" s="1336"/>
      <c r="F42" s="1337"/>
      <c r="G42" s="1338"/>
    </row>
    <row r="43" spans="1:7" x14ac:dyDescent="0.3">
      <c r="A43" s="426"/>
      <c r="B43" s="426"/>
      <c r="C43" s="426"/>
      <c r="D43" s="426"/>
      <c r="E43" s="426"/>
      <c r="F43" s="426"/>
      <c r="G43" s="426"/>
    </row>
    <row r="44" spans="1:7" ht="15" thickBot="1" x14ac:dyDescent="0.35">
      <c r="A44" s="426"/>
      <c r="B44" s="426"/>
      <c r="C44" s="426"/>
      <c r="D44" s="426"/>
      <c r="E44" s="1339" t="s">
        <v>1033</v>
      </c>
      <c r="F44" s="1339"/>
      <c r="G44" s="1339"/>
    </row>
    <row r="45" spans="1:7" x14ac:dyDescent="0.3">
      <c r="A45" s="426"/>
      <c r="B45" s="426"/>
      <c r="C45" s="426"/>
      <c r="D45" s="426"/>
      <c r="E45" s="1319"/>
      <c r="F45" s="1320"/>
      <c r="G45" s="1321"/>
    </row>
    <row r="46" spans="1:7" x14ac:dyDescent="0.3">
      <c r="A46" s="426"/>
      <c r="B46" s="426"/>
      <c r="C46" s="426"/>
      <c r="D46" s="426"/>
      <c r="E46" s="1322"/>
      <c r="F46" s="1323"/>
      <c r="G46" s="1324"/>
    </row>
    <row r="47" spans="1:7" x14ac:dyDescent="0.3">
      <c r="A47" s="426"/>
      <c r="B47" s="426"/>
      <c r="C47" s="426"/>
      <c r="D47" s="426"/>
      <c r="E47" s="1322"/>
      <c r="F47" s="1323"/>
      <c r="G47" s="1324"/>
    </row>
    <row r="48" spans="1:7" x14ac:dyDescent="0.3">
      <c r="A48" s="426"/>
      <c r="B48" s="426"/>
      <c r="C48" s="426"/>
      <c r="D48" s="426"/>
      <c r="E48" s="1322"/>
      <c r="F48" s="1323"/>
      <c r="G48" s="1324"/>
    </row>
    <row r="49" spans="5:7" x14ac:dyDescent="0.3">
      <c r="E49" s="1322"/>
      <c r="F49" s="1323"/>
      <c r="G49" s="1324"/>
    </row>
    <row r="50" spans="5:7" x14ac:dyDescent="0.3">
      <c r="E50" s="1322"/>
      <c r="F50" s="1323"/>
      <c r="G50" s="1324"/>
    </row>
    <row r="51" spans="5:7" x14ac:dyDescent="0.3">
      <c r="E51" s="1322"/>
      <c r="F51" s="1323"/>
      <c r="G51" s="1324"/>
    </row>
    <row r="52" spans="5:7" x14ac:dyDescent="0.3">
      <c r="E52" s="1322"/>
      <c r="F52" s="1323"/>
      <c r="G52" s="1324"/>
    </row>
    <row r="53" spans="5:7" x14ac:dyDescent="0.3">
      <c r="E53" s="1322"/>
      <c r="F53" s="1323"/>
      <c r="G53" s="1324"/>
    </row>
    <row r="54" spans="5:7" x14ac:dyDescent="0.3">
      <c r="E54" s="1322"/>
      <c r="F54" s="1323"/>
      <c r="G54" s="1324"/>
    </row>
    <row r="55" spans="5:7" x14ac:dyDescent="0.3">
      <c r="E55" s="1322"/>
      <c r="F55" s="1323"/>
      <c r="G55" s="1324"/>
    </row>
    <row r="56" spans="5:7" ht="15" thickBot="1" x14ac:dyDescent="0.35">
      <c r="E56" s="1325"/>
      <c r="F56" s="1326"/>
      <c r="G56" s="1327"/>
    </row>
  </sheetData>
  <sheetProtection algorithmName="SHA-512" hashValue="MyMFC1Y00JWeUunmMxvcSl+ZyAXGQLONc6YQxeBT62Ul5z3p56DBZ3RDJVCSkIisF/FXKJBXOM9ik7fQxoYE2g==" saltValue="QdlyFJ4RISqV2JQQ46e1ug=="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tabSelected="1"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725" customWidth="1"/>
    <col min="5" max="5" width="17.109375" style="18" customWidth="1"/>
    <col min="6" max="6" width="21.5546875" style="725" customWidth="1"/>
    <col min="7" max="7" width="26.6640625" style="818" customWidth="1"/>
    <col min="8" max="8" width="25.109375" style="609" customWidth="1"/>
    <col min="9" max="9" width="24" style="725"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6" hidden="1" customWidth="1"/>
    <col min="15" max="15" width="2.109375" style="18" hidden="1" customWidth="1"/>
    <col min="16" max="16" width="0" style="18" hidden="1" customWidth="1"/>
    <col min="17" max="17" width="15.109375" style="18" hidden="1" customWidth="1"/>
    <col min="18" max="25" width="9.109375" style="18"/>
    <col min="26" max="26" width="30.6640625" style="651" customWidth="1"/>
    <col min="27" max="1881" width="9.109375" style="18"/>
    <col min="1882" max="16384" width="9.109375" style="725"/>
  </cols>
  <sheetData>
    <row r="1" spans="1:44" ht="15" thickBot="1" x14ac:dyDescent="0.35">
      <c r="B1" s="820" t="s">
        <v>751</v>
      </c>
      <c r="C1" s="820"/>
      <c r="E1" s="728" t="s">
        <v>36</v>
      </c>
      <c r="F1" s="729">
        <v>2021</v>
      </c>
      <c r="G1" s="123" t="s">
        <v>126</v>
      </c>
      <c r="H1" s="730"/>
      <c r="I1" s="731"/>
      <c r="J1" s="732" t="s">
        <v>1301</v>
      </c>
      <c r="M1" s="18" t="s">
        <v>51</v>
      </c>
      <c r="O1" s="18">
        <v>1</v>
      </c>
    </row>
    <row r="2" spans="1:44" ht="44.25" customHeight="1" thickBot="1" x14ac:dyDescent="0.35">
      <c r="B2" s="1184" t="s">
        <v>524</v>
      </c>
      <c r="C2" s="1185"/>
      <c r="D2" s="733" t="s">
        <v>1582</v>
      </c>
      <c r="E2" s="1182" t="s">
        <v>538</v>
      </c>
      <c r="F2" s="1182"/>
      <c r="G2" s="1183"/>
      <c r="H2" s="734"/>
      <c r="I2" s="1176" t="s">
        <v>1832</v>
      </c>
      <c r="M2" s="18" t="s">
        <v>52</v>
      </c>
      <c r="N2" s="296">
        <v>50</v>
      </c>
      <c r="O2" s="18">
        <v>2</v>
      </c>
    </row>
    <row r="3" spans="1:44" ht="15" thickBot="1" x14ac:dyDescent="0.35">
      <c r="B3" s="821" t="s">
        <v>0</v>
      </c>
      <c r="C3" s="822"/>
      <c r="D3" s="735" t="e">
        <f>VLOOKUP(D2,'Unit Names(H)'!A2:B142,2,FALSE)</f>
        <v>#N/A</v>
      </c>
      <c r="E3" s="930"/>
      <c r="F3" s="736"/>
      <c r="G3" s="737"/>
      <c r="H3" s="734"/>
      <c r="N3" s="296">
        <v>51</v>
      </c>
      <c r="O3" s="18">
        <v>3</v>
      </c>
    </row>
    <row r="4" spans="1:44" ht="15" thickBot="1" x14ac:dyDescent="0.35">
      <c r="B4" s="823" t="s">
        <v>1419</v>
      </c>
      <c r="C4" s="824"/>
      <c r="D4" s="738"/>
      <c r="E4" s="738"/>
      <c r="F4" s="739"/>
      <c r="G4" s="740"/>
      <c r="H4" s="734"/>
      <c r="I4" s="2"/>
      <c r="M4" s="18" t="s">
        <v>604</v>
      </c>
      <c r="N4" s="296">
        <v>52</v>
      </c>
      <c r="O4" s="18">
        <v>4</v>
      </c>
    </row>
    <row r="5" spans="1:44" ht="37.5" customHeight="1" x14ac:dyDescent="0.3">
      <c r="A5" s="687" t="s">
        <v>748</v>
      </c>
      <c r="B5" s="576" t="s">
        <v>111</v>
      </c>
      <c r="C5" s="576" t="s">
        <v>128</v>
      </c>
      <c r="D5" s="741" t="s">
        <v>1</v>
      </c>
      <c r="E5" s="741">
        <v>2020</v>
      </c>
      <c r="F5" s="742">
        <v>2021</v>
      </c>
      <c r="G5" s="743" t="s">
        <v>1541</v>
      </c>
      <c r="H5" s="744" t="s">
        <v>544</v>
      </c>
      <c r="I5" s="729" t="s">
        <v>13</v>
      </c>
      <c r="M5" s="18" t="s">
        <v>824</v>
      </c>
    </row>
    <row r="6" spans="1:44" ht="22.5" customHeight="1" x14ac:dyDescent="0.3">
      <c r="A6" s="575"/>
      <c r="B6" s="869" t="s">
        <v>127</v>
      </c>
      <c r="C6" s="870"/>
      <c r="D6" s="871"/>
      <c r="E6" s="872"/>
      <c r="F6" s="873"/>
      <c r="G6" s="865"/>
      <c r="H6" s="17"/>
      <c r="M6" s="18" t="s">
        <v>803</v>
      </c>
    </row>
    <row r="7" spans="1:44" s="18" customFormat="1" ht="63.75" customHeight="1" thickBot="1" x14ac:dyDescent="0.35">
      <c r="A7" s="108">
        <v>333</v>
      </c>
      <c r="B7" s="651" t="s">
        <v>67</v>
      </c>
      <c r="C7" s="651" t="s">
        <v>129</v>
      </c>
      <c r="D7" s="724" t="s">
        <v>1420</v>
      </c>
      <c r="E7" s="685" t="e">
        <f>HLOOKUP($D$2,'2020 Data(H)'!$C$1:$CR$393,99,FALSE)</f>
        <v>#N/A</v>
      </c>
      <c r="F7" s="295">
        <v>0</v>
      </c>
      <c r="G7" s="746">
        <f>IF(F7&lt;0,"Note: Number is normally positive.",)</f>
        <v>0</v>
      </c>
      <c r="H7" s="747"/>
      <c r="I7" s="748"/>
      <c r="J7" s="591" t="s">
        <v>1280</v>
      </c>
      <c r="L7" s="711"/>
      <c r="M7" s="18" t="s">
        <v>825</v>
      </c>
      <c r="N7" s="296"/>
      <c r="Q7" s="295">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08">
        <v>500</v>
      </c>
      <c r="B8" s="651" t="s">
        <v>55</v>
      </c>
      <c r="C8" s="651" t="s">
        <v>129</v>
      </c>
      <c r="D8" s="724" t="s">
        <v>1421</v>
      </c>
      <c r="E8" s="685" t="e">
        <f>HLOOKUP($D$2,'2020 Data(H)'!$C$1:$CR$393,150,FALSE)</f>
        <v>#N/A</v>
      </c>
      <c r="F8" s="295">
        <v>0</v>
      </c>
      <c r="G8" s="746">
        <f>IF(F8&lt;0,"Note: Number is normally positive.",)</f>
        <v>0</v>
      </c>
      <c r="H8" s="747"/>
      <c r="I8" s="747"/>
      <c r="J8" s="591"/>
      <c r="L8" s="720"/>
      <c r="M8" s="18" t="s">
        <v>826</v>
      </c>
      <c r="N8" s="296"/>
      <c r="Q8" s="295">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08">
        <v>385</v>
      </c>
      <c r="B9" s="609" t="s">
        <v>60</v>
      </c>
      <c r="C9" s="651" t="s">
        <v>129</v>
      </c>
      <c r="D9" s="107" t="s">
        <v>130</v>
      </c>
      <c r="E9" s="685" t="e">
        <f>HLOOKUP($D$2,'2020 Data(H)'!$C$1:$CR$393,144,FALSE)-E11</f>
        <v>#N/A</v>
      </c>
      <c r="F9" s="295">
        <v>0</v>
      </c>
      <c r="G9" s="746">
        <f>IF((F7+F8)&gt;F9,"Error: Please review Account numbers (333+500)&gt;385",)</f>
        <v>0</v>
      </c>
      <c r="H9" s="17"/>
      <c r="I9" s="747"/>
      <c r="J9" s="591"/>
      <c r="L9" s="720"/>
      <c r="Q9" s="295">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08">
        <v>575</v>
      </c>
      <c r="B10" s="651" t="s">
        <v>70</v>
      </c>
      <c r="C10" s="651" t="s">
        <v>129</v>
      </c>
      <c r="D10" s="825" t="s">
        <v>1422</v>
      </c>
      <c r="E10" s="685" t="e">
        <f>HLOOKUP($D$2,'2020 Data(H)'!$C$1:$CR$393,225,FALSE)</f>
        <v>#N/A</v>
      </c>
      <c r="F10" s="295">
        <v>0</v>
      </c>
      <c r="G10" s="746">
        <f>IF(F10&lt;0,"Note: Number is normally positive.",)</f>
        <v>0</v>
      </c>
      <c r="H10" s="749"/>
      <c r="I10" s="750"/>
      <c r="L10" s="720"/>
      <c r="N10" s="296"/>
      <c r="Q10" s="295">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08">
        <v>576</v>
      </c>
      <c r="B11" s="651" t="s">
        <v>70</v>
      </c>
      <c r="C11" s="651" t="s">
        <v>129</v>
      </c>
      <c r="D11" s="825" t="s">
        <v>1423</v>
      </c>
      <c r="E11" s="685" t="e">
        <f>HLOOKUP($D$2,'2020 Data(H)'!$C$1:$CR$393,226,FALSE)</f>
        <v>#N/A</v>
      </c>
      <c r="F11" s="295">
        <v>0</v>
      </c>
      <c r="G11" s="746">
        <f>IF(F11&lt;0,"Error: Enter as positive.",)</f>
        <v>0</v>
      </c>
      <c r="H11" s="749"/>
      <c r="I11" s="750"/>
      <c r="J11" s="591"/>
      <c r="L11" s="720"/>
      <c r="N11" s="296"/>
      <c r="Q11" s="295">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310">
        <v>626</v>
      </c>
      <c r="B12" s="826" t="s">
        <v>844</v>
      </c>
      <c r="C12" s="826" t="s">
        <v>129</v>
      </c>
      <c r="D12" s="341" t="s">
        <v>1424</v>
      </c>
      <c r="E12" s="685" t="e">
        <f>HLOOKUP($D$2,'2020 Data(H)'!$C$1:$CR$393,285,FALSE)-E11</f>
        <v>#N/A</v>
      </c>
      <c r="F12" s="295">
        <v>0</v>
      </c>
      <c r="G12" s="746">
        <f>IF(F12&lt;0,"Error: Enter as positive.",)</f>
        <v>0</v>
      </c>
      <c r="H12" s="751"/>
      <c r="I12" s="751"/>
      <c r="J12" s="591"/>
      <c r="L12" s="720"/>
      <c r="Q12" s="295">
        <v>136667</v>
      </c>
      <c r="Z12" s="310"/>
      <c r="AA12" s="310"/>
      <c r="AB12" s="310"/>
      <c r="AC12" s="310"/>
      <c r="AD12" s="310"/>
      <c r="AE12" s="310"/>
      <c r="AF12" s="310"/>
      <c r="AG12" s="310"/>
      <c r="AH12" s="310"/>
      <c r="AI12" s="310"/>
      <c r="AJ12" s="310"/>
      <c r="AK12" s="310"/>
      <c r="AL12" s="310"/>
      <c r="AM12" s="310"/>
      <c r="AN12" s="310"/>
      <c r="AO12" s="310"/>
      <c r="AP12" s="310"/>
      <c r="AQ12" s="310"/>
      <c r="AR12" s="310"/>
    </row>
    <row r="13" spans="1:44" ht="89.25" customHeight="1" thickBot="1" x14ac:dyDescent="0.35">
      <c r="A13" s="309">
        <v>627</v>
      </c>
      <c r="B13" s="827" t="s">
        <v>716</v>
      </c>
      <c r="C13" s="826" t="s">
        <v>129</v>
      </c>
      <c r="D13" s="341" t="s">
        <v>1425</v>
      </c>
      <c r="E13" s="685" t="e">
        <f>HLOOKUP($D$2,'2020 Data(H)'!$C$1:$CR$393,286,FALSE)</f>
        <v>#N/A</v>
      </c>
      <c r="F13" s="295">
        <v>0</v>
      </c>
      <c r="G13" s="746">
        <f>IF(F13&gt;F12,"Please review account numbers 627 &gt;626",)</f>
        <v>0</v>
      </c>
      <c r="H13" s="751"/>
      <c r="I13" s="751"/>
      <c r="J13" s="591"/>
      <c r="L13" s="720"/>
      <c r="Q13" s="295">
        <v>0</v>
      </c>
      <c r="Z13" s="309"/>
      <c r="AA13" s="309"/>
      <c r="AB13" s="309"/>
      <c r="AC13" s="309"/>
      <c r="AD13" s="309"/>
      <c r="AE13" s="309"/>
      <c r="AF13" s="309"/>
      <c r="AG13" s="309"/>
      <c r="AH13" s="309"/>
      <c r="AI13" s="309"/>
      <c r="AJ13" s="309"/>
      <c r="AK13" s="309"/>
      <c r="AL13" s="309"/>
      <c r="AM13" s="309"/>
      <c r="AN13" s="309"/>
      <c r="AO13" s="309"/>
      <c r="AP13" s="309"/>
      <c r="AQ13" s="309"/>
      <c r="AR13" s="309"/>
    </row>
    <row r="14" spans="1:44" ht="105" customHeight="1" thickBot="1" x14ac:dyDescent="0.35">
      <c r="A14" s="309">
        <v>628</v>
      </c>
      <c r="B14" s="827" t="s">
        <v>716</v>
      </c>
      <c r="C14" s="826" t="s">
        <v>129</v>
      </c>
      <c r="D14" s="341" t="s">
        <v>1426</v>
      </c>
      <c r="E14" s="685" t="e">
        <f>HLOOKUP($D$2,'2020 Data(H)'!$C$1:$CR$393,287,FALSE)</f>
        <v>#N/A</v>
      </c>
      <c r="F14" s="295">
        <v>0</v>
      </c>
      <c r="G14" s="746">
        <f>IF(F14&gt;F12,"Please review account numbers 628 &gt; 626",)</f>
        <v>0</v>
      </c>
      <c r="H14" s="751"/>
      <c r="I14" s="751"/>
      <c r="J14" s="591"/>
      <c r="L14" s="720"/>
      <c r="Q14" s="295">
        <v>56141</v>
      </c>
      <c r="Z14" s="309"/>
      <c r="AA14" s="309"/>
      <c r="AB14" s="309"/>
      <c r="AC14" s="309"/>
      <c r="AD14" s="309"/>
      <c r="AE14" s="309"/>
      <c r="AF14" s="309"/>
      <c r="AG14" s="309"/>
      <c r="AH14" s="309"/>
      <c r="AI14" s="309"/>
      <c r="AJ14" s="309"/>
      <c r="AK14" s="309"/>
      <c r="AL14" s="309"/>
      <c r="AM14" s="309"/>
      <c r="AN14" s="309"/>
      <c r="AO14" s="309"/>
      <c r="AP14" s="309"/>
      <c r="AQ14" s="309"/>
      <c r="AR14" s="309"/>
    </row>
    <row r="15" spans="1:44" ht="95.25" customHeight="1" thickBot="1" x14ac:dyDescent="0.35">
      <c r="A15" s="309">
        <v>629</v>
      </c>
      <c r="B15" s="827" t="s">
        <v>716</v>
      </c>
      <c r="C15" s="826" t="s">
        <v>129</v>
      </c>
      <c r="D15" s="341" t="s">
        <v>1427</v>
      </c>
      <c r="E15" s="685" t="e">
        <f>HLOOKUP($D$2,'2020 Data(H)'!$C$1:$CR$393,288,FALSE)</f>
        <v>#N/A</v>
      </c>
      <c r="F15" s="295">
        <v>0</v>
      </c>
      <c r="G15" s="746">
        <f>IF(F15&gt;F12,"Please review account numbers 629 &gt; 626",)</f>
        <v>0</v>
      </c>
      <c r="H15" s="751"/>
      <c r="I15" s="751"/>
      <c r="J15" s="591"/>
      <c r="L15" s="720"/>
      <c r="Q15" s="295">
        <v>0</v>
      </c>
      <c r="Z15" s="309"/>
      <c r="AA15" s="309"/>
      <c r="AB15" s="309"/>
      <c r="AC15" s="309"/>
      <c r="AD15" s="309"/>
      <c r="AE15" s="309"/>
      <c r="AF15" s="309"/>
      <c r="AG15" s="309"/>
      <c r="AH15" s="309"/>
      <c r="AI15" s="309"/>
      <c r="AJ15" s="309"/>
      <c r="AK15" s="309"/>
      <c r="AL15" s="309"/>
      <c r="AM15" s="309"/>
      <c r="AN15" s="309"/>
      <c r="AO15" s="309"/>
      <c r="AP15" s="309"/>
      <c r="AQ15" s="309"/>
      <c r="AR15" s="309"/>
    </row>
    <row r="16" spans="1:44" ht="69" customHeight="1" thickBot="1" x14ac:dyDescent="0.35">
      <c r="A16" s="309">
        <v>630</v>
      </c>
      <c r="B16" s="827" t="s">
        <v>716</v>
      </c>
      <c r="C16" s="826" t="s">
        <v>129</v>
      </c>
      <c r="D16" s="341" t="s">
        <v>819</v>
      </c>
      <c r="E16" s="685" t="e">
        <f>HLOOKUP($D$2,'2020 Data(H)'!$C$1:$CR$393,289,FALSE)</f>
        <v>#N/A</v>
      </c>
      <c r="F16" s="295">
        <v>0</v>
      </c>
      <c r="G16" s="746">
        <f>IF(F16&gt;F12,"Please review account numbers 630 &gt; 626",)</f>
        <v>0</v>
      </c>
      <c r="H16" s="751"/>
      <c r="I16" s="751"/>
      <c r="J16" s="591"/>
      <c r="L16" s="720"/>
      <c r="Q16" s="295">
        <v>0</v>
      </c>
      <c r="Z16" s="309"/>
      <c r="AA16" s="309"/>
      <c r="AB16" s="309"/>
      <c r="AC16" s="309"/>
      <c r="AD16" s="309"/>
      <c r="AE16" s="309"/>
      <c r="AF16" s="309"/>
      <c r="AG16" s="309"/>
      <c r="AH16" s="309"/>
      <c r="AI16" s="309"/>
      <c r="AJ16" s="309"/>
      <c r="AK16" s="309"/>
      <c r="AL16" s="309"/>
      <c r="AM16" s="309"/>
      <c r="AN16" s="309"/>
      <c r="AO16" s="309"/>
      <c r="AP16" s="309"/>
      <c r="AQ16" s="309"/>
      <c r="AR16" s="309"/>
    </row>
    <row r="17" spans="1:44" ht="95.25" customHeight="1" thickBot="1" x14ac:dyDescent="0.35">
      <c r="A17" s="309">
        <v>631</v>
      </c>
      <c r="B17" s="827" t="s">
        <v>716</v>
      </c>
      <c r="C17" s="826" t="s">
        <v>129</v>
      </c>
      <c r="D17" s="341" t="s">
        <v>1428</v>
      </c>
      <c r="E17" s="685" t="e">
        <f>HLOOKUP($D$2,'2020 Data(H)'!$C$1:$CR$393,290,FALSE)</f>
        <v>#N/A</v>
      </c>
      <c r="F17" s="295">
        <v>0</v>
      </c>
      <c r="G17" s="746">
        <f>IF(F17&gt;F12,"Please review account numbers 631 &gt; 626",)</f>
        <v>0</v>
      </c>
      <c r="H17" s="751"/>
      <c r="I17" s="751"/>
      <c r="J17" s="591"/>
      <c r="L17" s="720"/>
      <c r="Q17" s="295">
        <v>0</v>
      </c>
      <c r="Z17" s="309"/>
      <c r="AA17" s="309"/>
      <c r="AB17" s="309"/>
      <c r="AC17" s="309"/>
      <c r="AD17" s="309"/>
      <c r="AE17" s="309"/>
      <c r="AF17" s="309"/>
      <c r="AG17" s="309"/>
      <c r="AH17" s="309"/>
      <c r="AI17" s="309"/>
      <c r="AJ17" s="309"/>
      <c r="AK17" s="309"/>
      <c r="AL17" s="309"/>
      <c r="AM17" s="309"/>
      <c r="AN17" s="309"/>
      <c r="AO17" s="309"/>
      <c r="AP17" s="309"/>
      <c r="AQ17" s="309"/>
      <c r="AR17" s="309"/>
    </row>
    <row r="18" spans="1:44" ht="111.75" customHeight="1" thickBot="1" x14ac:dyDescent="0.35">
      <c r="A18" s="309">
        <v>632</v>
      </c>
      <c r="B18" s="827" t="s">
        <v>716</v>
      </c>
      <c r="C18" s="826" t="s">
        <v>129</v>
      </c>
      <c r="D18" s="341" t="s">
        <v>1429</v>
      </c>
      <c r="E18" s="685" t="e">
        <f>HLOOKUP($D$2,'2020 Data(H)'!$C$1:$CR$393,291,FALSE)</f>
        <v>#N/A</v>
      </c>
      <c r="F18" s="295">
        <v>0</v>
      </c>
      <c r="G18" s="746">
        <f>IF(F18&gt;F12,"Please review account numbers 632 &gt; 626",)</f>
        <v>0</v>
      </c>
      <c r="H18" s="751"/>
      <c r="I18" s="751"/>
      <c r="J18" s="591"/>
      <c r="L18" s="720"/>
      <c r="Q18" s="295">
        <v>0</v>
      </c>
      <c r="Z18" s="309"/>
      <c r="AA18" s="309"/>
      <c r="AB18" s="309"/>
      <c r="AC18" s="309"/>
      <c r="AD18" s="309"/>
      <c r="AE18" s="309"/>
      <c r="AF18" s="309"/>
      <c r="AG18" s="309"/>
      <c r="AH18" s="309"/>
      <c r="AI18" s="309"/>
      <c r="AJ18" s="309"/>
      <c r="AK18" s="309"/>
      <c r="AL18" s="309"/>
      <c r="AM18" s="309"/>
      <c r="AN18" s="309"/>
      <c r="AO18" s="309"/>
      <c r="AP18" s="309"/>
      <c r="AQ18" s="309"/>
      <c r="AR18" s="309"/>
    </row>
    <row r="19" spans="1:44" ht="55.5" customHeight="1" thickBot="1" x14ac:dyDescent="0.35">
      <c r="A19" s="108">
        <v>338</v>
      </c>
      <c r="B19" s="609" t="s">
        <v>56</v>
      </c>
      <c r="C19" s="651" t="s">
        <v>129</v>
      </c>
      <c r="D19" s="107" t="s">
        <v>131</v>
      </c>
      <c r="E19" s="685" t="e">
        <f>HLOOKUP($D$2,'2020 Data(H)'!$C$1:$CR$393,104,FALSE)</f>
        <v>#N/A</v>
      </c>
      <c r="F19" s="295">
        <v>0</v>
      </c>
      <c r="G19" s="746" t="str">
        <f>IF(F12&gt;F19,"Error: Please review accts 626 &gt; 338","")</f>
        <v/>
      </c>
      <c r="H19" s="17"/>
      <c r="I19" s="747"/>
      <c r="J19" s="591"/>
      <c r="L19" s="720"/>
      <c r="Q19" s="295">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08">
        <v>335</v>
      </c>
      <c r="B20" s="609" t="s">
        <v>56</v>
      </c>
      <c r="C20" s="651" t="s">
        <v>129</v>
      </c>
      <c r="D20" s="724" t="s">
        <v>1430</v>
      </c>
      <c r="E20" s="685" t="e">
        <f>HLOOKUP($D$2,'2020 Data(H)'!$C$1:$CR$393,101,FALSE)</f>
        <v>#N/A</v>
      </c>
      <c r="F20" s="295">
        <v>0</v>
      </c>
      <c r="G20" s="746">
        <f>IF(F20&lt;0,"Error: Enter as positive.",)</f>
        <v>0</v>
      </c>
      <c r="H20" s="17"/>
      <c r="I20" s="376"/>
      <c r="J20" s="591"/>
      <c r="L20" s="720"/>
      <c r="Q20" s="295">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08">
        <v>252</v>
      </c>
      <c r="B21" s="609" t="s">
        <v>56</v>
      </c>
      <c r="C21" s="651" t="s">
        <v>129</v>
      </c>
      <c r="D21" s="107" t="s">
        <v>132</v>
      </c>
      <c r="E21" s="685" t="e">
        <f>HLOOKUP($D$2,'2020 Data(H)'!$C$1:$CR$393,78,FALSE)</f>
        <v>#N/A</v>
      </c>
      <c r="F21" s="295">
        <v>0</v>
      </c>
      <c r="G21" s="752"/>
      <c r="H21" s="17"/>
      <c r="I21" s="79"/>
      <c r="J21" s="591"/>
      <c r="L21" s="720"/>
      <c r="Q21" s="295">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08">
        <v>253</v>
      </c>
      <c r="B22" s="609" t="s">
        <v>56</v>
      </c>
      <c r="C22" s="651" t="s">
        <v>129</v>
      </c>
      <c r="D22" s="107" t="s">
        <v>133</v>
      </c>
      <c r="E22" s="685" t="e">
        <f>HLOOKUP($D$2,'2020 Data(H)'!$C$1:$CR$393,79,FALSE)</f>
        <v>#N/A</v>
      </c>
      <c r="F22" s="295">
        <v>0</v>
      </c>
      <c r="G22" s="746"/>
      <c r="H22" s="17"/>
      <c r="I22" s="79"/>
      <c r="J22" s="591"/>
      <c r="L22" s="720"/>
      <c r="Q22" s="295">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08">
        <v>254</v>
      </c>
      <c r="B23" s="609" t="s">
        <v>56</v>
      </c>
      <c r="C23" s="651" t="s">
        <v>129</v>
      </c>
      <c r="D23" s="107" t="s">
        <v>1431</v>
      </c>
      <c r="E23" s="685" t="e">
        <f>HLOOKUP($D$2,'2020 Data(H)'!$C$1:$CR$393,80,FALSE)</f>
        <v>#N/A</v>
      </c>
      <c r="F23" s="295">
        <v>0</v>
      </c>
      <c r="G23" s="746">
        <f>IF(H23=0,,"Error: Total assets and deferred outflows less total liabilities and deferred inflows do not equal total net position. Account numbers  385-338-252-253-254 = 0.  The amount the formula is off is located in the cell to the right")</f>
        <v>0</v>
      </c>
      <c r="H23" s="749">
        <f>F9-F19-F21-F22-F23</f>
        <v>0</v>
      </c>
      <c r="I23" s="79"/>
      <c r="J23" s="591"/>
      <c r="L23" s="720"/>
      <c r="Q23" s="295">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57" t="s">
        <v>134</v>
      </c>
      <c r="C24" s="858"/>
      <c r="D24" s="862"/>
      <c r="E24" s="863"/>
      <c r="F24" s="874"/>
      <c r="G24" s="875"/>
      <c r="H24" s="17"/>
      <c r="I24" s="79"/>
      <c r="L24" s="720"/>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609" t="s">
        <v>55</v>
      </c>
      <c r="C25" s="651" t="s">
        <v>136</v>
      </c>
      <c r="D25" s="724" t="s">
        <v>1432</v>
      </c>
      <c r="E25" s="685" t="e">
        <f>HLOOKUP($D$2,'2020 Data(H)'!$C$1:$CR$393,152,FALSE)</f>
        <v>#N/A</v>
      </c>
      <c r="F25" s="295">
        <v>0</v>
      </c>
      <c r="G25" s="746">
        <f>IF(F25&lt;0,"Note: Number is normally positive.",)</f>
        <v>0</v>
      </c>
      <c r="H25" s="17"/>
      <c r="I25" s="79"/>
      <c r="L25" s="720"/>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609" t="s">
        <v>55</v>
      </c>
      <c r="C26" s="651" t="s">
        <v>136</v>
      </c>
      <c r="D26" s="107" t="s">
        <v>135</v>
      </c>
      <c r="E26" s="685" t="e">
        <f>HLOOKUP($D$2,'2020 Data(H)'!$C$1:$CR$393,153,FALSE)</f>
        <v>#N/A</v>
      </c>
      <c r="F26" s="274">
        <v>0</v>
      </c>
      <c r="G26" s="746">
        <f>IF(F26&lt;0,"Note: Number is normally positive.",)</f>
        <v>0</v>
      </c>
      <c r="H26" s="17"/>
      <c r="I26" s="79"/>
      <c r="L26" s="720"/>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08"/>
      <c r="B27" s="857" t="s">
        <v>137</v>
      </c>
      <c r="C27" s="858"/>
      <c r="D27" s="862"/>
      <c r="E27" s="863"/>
      <c r="F27" s="864"/>
      <c r="G27" s="865"/>
      <c r="H27" s="17"/>
      <c r="I27" s="79"/>
      <c r="L27" s="720"/>
      <c r="Z27" s="108"/>
      <c r="AA27" s="108"/>
      <c r="AB27" s="108"/>
      <c r="AC27" s="108"/>
      <c r="AD27" s="108"/>
      <c r="AE27" s="108"/>
      <c r="AF27" s="108"/>
      <c r="AG27" s="108"/>
      <c r="AH27" s="108"/>
      <c r="AI27" s="108"/>
      <c r="AJ27" s="108"/>
      <c r="AK27" s="108"/>
      <c r="AL27" s="108"/>
      <c r="AM27" s="108"/>
      <c r="AN27" s="108"/>
      <c r="AO27" s="108"/>
      <c r="AP27" s="108"/>
      <c r="AQ27" s="108"/>
      <c r="AR27" s="108"/>
    </row>
    <row r="28" spans="1:44" ht="49.5" customHeight="1" thickBot="1" x14ac:dyDescent="0.35">
      <c r="A28" s="108">
        <v>344</v>
      </c>
      <c r="B28" s="609" t="s">
        <v>56</v>
      </c>
      <c r="C28" s="609" t="s">
        <v>144</v>
      </c>
      <c r="D28" s="107" t="s">
        <v>138</v>
      </c>
      <c r="E28" s="685" t="e">
        <f>HLOOKUP($D$2,'2020 Data(H)'!$C$1:$CR$393,110,FALSE)</f>
        <v>#N/A</v>
      </c>
      <c r="F28" s="295">
        <v>0</v>
      </c>
      <c r="G28" s="746">
        <f t="shared" ref="G28:G35" si="0">IF(F28&lt;0,"Error: Enter as positive.",)</f>
        <v>0</v>
      </c>
      <c r="H28" s="17"/>
      <c r="I28" s="79"/>
      <c r="L28" s="720"/>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08">
        <v>388</v>
      </c>
      <c r="B29" s="609" t="s">
        <v>60</v>
      </c>
      <c r="C29" s="609" t="s">
        <v>144</v>
      </c>
      <c r="D29" s="107" t="s">
        <v>139</v>
      </c>
      <c r="E29" s="685" t="e">
        <f>HLOOKUP($D$2,'2020 Data(H)'!$C$1:$CR$393,147,FALSE)</f>
        <v>#N/A</v>
      </c>
      <c r="F29" s="295">
        <v>0</v>
      </c>
      <c r="G29" s="746">
        <f t="shared" si="0"/>
        <v>0</v>
      </c>
      <c r="H29" s="17"/>
      <c r="I29" s="79"/>
      <c r="J29" s="591"/>
      <c r="L29" s="720"/>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08">
        <v>339</v>
      </c>
      <c r="B30" s="609" t="s">
        <v>56</v>
      </c>
      <c r="C30" s="609" t="s">
        <v>144</v>
      </c>
      <c r="D30" s="107" t="s">
        <v>140</v>
      </c>
      <c r="E30" s="685" t="e">
        <f>HLOOKUP($D$2,'2020 Data(H)'!$C$1:$CR$393,105,FALSE)</f>
        <v>#N/A</v>
      </c>
      <c r="F30" s="295">
        <v>0</v>
      </c>
      <c r="G30" s="746">
        <f t="shared" si="0"/>
        <v>0</v>
      </c>
      <c r="H30" s="17"/>
      <c r="I30" s="79"/>
      <c r="J30" s="591"/>
      <c r="L30" s="720"/>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08">
        <v>504</v>
      </c>
      <c r="B31" s="609" t="s">
        <v>56</v>
      </c>
      <c r="C31" s="609" t="s">
        <v>144</v>
      </c>
      <c r="D31" s="107" t="s">
        <v>141</v>
      </c>
      <c r="E31" s="685" t="e">
        <f>HLOOKUP($D$2,'2020 Data(H)'!$C$1:$CR$393,154,FALSE)</f>
        <v>#N/A</v>
      </c>
      <c r="F31" s="295">
        <v>0</v>
      </c>
      <c r="G31" s="746">
        <f t="shared" si="0"/>
        <v>0</v>
      </c>
      <c r="H31" s="17"/>
      <c r="I31" s="79"/>
      <c r="J31" s="591"/>
      <c r="L31" s="720"/>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08">
        <v>505</v>
      </c>
      <c r="B32" s="609" t="s">
        <v>56</v>
      </c>
      <c r="C32" s="609" t="s">
        <v>144</v>
      </c>
      <c r="D32" s="704" t="s">
        <v>142</v>
      </c>
      <c r="E32" s="685" t="e">
        <f>HLOOKUP($D$2,'2020 Data(H)'!$C$1:$CR$393,155,FALSE)</f>
        <v>#N/A</v>
      </c>
      <c r="F32" s="295">
        <v>0</v>
      </c>
      <c r="G32" s="746">
        <f t="shared" si="0"/>
        <v>0</v>
      </c>
      <c r="H32" s="17"/>
      <c r="I32" s="79"/>
      <c r="J32" s="591"/>
      <c r="L32" s="720"/>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08">
        <v>341</v>
      </c>
      <c r="B33" s="609" t="s">
        <v>56</v>
      </c>
      <c r="C33" s="609" t="s">
        <v>144</v>
      </c>
      <c r="D33" s="724" t="s">
        <v>1433</v>
      </c>
      <c r="E33" s="685" t="e">
        <f>HLOOKUP($D$2,'2020 Data(H)'!$C$1:$CR$393,107,FALSE)</f>
        <v>#N/A</v>
      </c>
      <c r="F33" s="295">
        <v>0</v>
      </c>
      <c r="G33" s="746">
        <f t="shared" si="0"/>
        <v>0</v>
      </c>
      <c r="H33" s="17"/>
      <c r="I33" s="79"/>
      <c r="J33" s="591"/>
      <c r="L33" s="720"/>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08">
        <v>386</v>
      </c>
      <c r="B34" s="609" t="s">
        <v>56</v>
      </c>
      <c r="C34" s="609" t="s">
        <v>144</v>
      </c>
      <c r="D34" s="107" t="s">
        <v>1434</v>
      </c>
      <c r="E34" s="685" t="e">
        <f>HLOOKUP($D$2,'2020 Data(H)'!$C$1:$CR$393,145,FALSE)</f>
        <v>#N/A</v>
      </c>
      <c r="F34" s="295">
        <v>0</v>
      </c>
      <c r="G34" s="746">
        <f t="shared" si="0"/>
        <v>0</v>
      </c>
      <c r="H34" s="17"/>
      <c r="I34" s="79"/>
      <c r="L34" s="720"/>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08">
        <v>387</v>
      </c>
      <c r="B35" s="609" t="s">
        <v>60</v>
      </c>
      <c r="C35" s="609" t="s">
        <v>144</v>
      </c>
      <c r="D35" s="107" t="s">
        <v>1435</v>
      </c>
      <c r="E35" s="685" t="e">
        <f>HLOOKUP($D$2,'2020 Data(H)'!$C$1:$CR$393,146,FALSE)</f>
        <v>#N/A</v>
      </c>
      <c r="F35" s="295">
        <v>0</v>
      </c>
      <c r="G35" s="746">
        <f t="shared" si="0"/>
        <v>0</v>
      </c>
      <c r="H35" s="17"/>
      <c r="I35" s="79"/>
      <c r="L35" s="720"/>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08">
        <v>389</v>
      </c>
      <c r="B36" s="609" t="s">
        <v>60</v>
      </c>
      <c r="C36" s="609" t="s">
        <v>144</v>
      </c>
      <c r="D36" s="724" t="s">
        <v>1436</v>
      </c>
      <c r="E36" s="685" t="e">
        <f>HLOOKUP($D$2,'2020 Data(H)'!$C$1:$CR$393,148,FALSE)</f>
        <v>#N/A</v>
      </c>
      <c r="F36" s="295">
        <v>0</v>
      </c>
      <c r="G36" s="746"/>
      <c r="H36" s="17"/>
      <c r="I36" s="79"/>
      <c r="J36" s="591"/>
      <c r="L36" s="720"/>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08">
        <v>255</v>
      </c>
      <c r="B37" s="609" t="s">
        <v>56</v>
      </c>
      <c r="C37" s="609" t="s">
        <v>144</v>
      </c>
      <c r="D37" s="724" t="s">
        <v>1437</v>
      </c>
      <c r="E37" s="685" t="e">
        <f>HLOOKUP($D$2,'2020 Data(H)'!$C$1:$CR$393,81,FALSE)</f>
        <v>#N/A</v>
      </c>
      <c r="F37" s="295">
        <v>0</v>
      </c>
      <c r="G37" s="746">
        <f>IF(H37=0,,"Error: Total revenues less total expenses do not equal total change in net position. Account numbers 339+504+505+341+386-387+389-388-255 = 0  The amount the formula is off is located in the cell to the right")</f>
        <v>0</v>
      </c>
      <c r="H37" s="749">
        <f>F30+F31+F32+F33+F34-F35+F36-F29-F37</f>
        <v>0</v>
      </c>
      <c r="I37" s="79"/>
      <c r="J37" s="591"/>
      <c r="L37" s="720"/>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08">
        <v>376</v>
      </c>
      <c r="B38" s="609" t="s">
        <v>56</v>
      </c>
      <c r="C38" s="609" t="s">
        <v>144</v>
      </c>
      <c r="D38" s="724" t="s">
        <v>1438</v>
      </c>
      <c r="E38" s="685" t="e">
        <f>HLOOKUP($D$2,'2020 Data(H)'!$C$1:$CR$393,135,FALSE)</f>
        <v>#N/A</v>
      </c>
      <c r="F38" s="293">
        <v>0</v>
      </c>
      <c r="G38" s="927" t="e">
        <f>IF(H38=0,,"Error: Beginning Balance does not agree with our records.  Account numbers  252+253+254-255-376-(Prior Year 252+253+254)=0  The amount the formula is off is located in the cell to the right")</f>
        <v>#N/A</v>
      </c>
      <c r="H38" s="753" t="e">
        <f>F21+F22+F23-F37-F38-(E21+E22+E23)</f>
        <v>#N/A</v>
      </c>
      <c r="I38" s="1173" t="s">
        <v>1829</v>
      </c>
      <c r="J38" s="591"/>
      <c r="L38" s="720"/>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customHeight="1" thickBot="1" x14ac:dyDescent="0.35">
      <c r="A39" s="108">
        <v>597</v>
      </c>
      <c r="B39" s="651" t="s">
        <v>606</v>
      </c>
      <c r="C39" s="651" t="s">
        <v>672</v>
      </c>
      <c r="D39" s="828" t="s">
        <v>1439</v>
      </c>
      <c r="E39" s="685" t="e">
        <f>HLOOKUP($D$2,'2020 Data(H)'!$C$1:$CR$393,256,FALSE)</f>
        <v>#N/A</v>
      </c>
      <c r="F39" s="293">
        <v>0</v>
      </c>
      <c r="G39" s="746">
        <f>IF(F39&lt;0,"Note: Number is normally positive.",)</f>
        <v>0</v>
      </c>
      <c r="H39" s="747"/>
      <c r="I39" s="748"/>
      <c r="J39" s="591"/>
      <c r="L39" s="720"/>
      <c r="N39" s="296"/>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57" t="s">
        <v>605</v>
      </c>
      <c r="C40" s="858"/>
      <c r="D40" s="862"/>
      <c r="E40" s="863"/>
      <c r="F40" s="864"/>
      <c r="G40" s="865"/>
      <c r="H40" s="17"/>
      <c r="I40" s="79"/>
      <c r="L40" s="720"/>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51" t="s">
        <v>59</v>
      </c>
      <c r="C41" s="651" t="s">
        <v>607</v>
      </c>
      <c r="D41" s="724" t="s">
        <v>1440</v>
      </c>
      <c r="E41" s="685" t="e">
        <f>HLOOKUP($D$2,'2020 Data(H)'!$C$1:$CR$393,253,FALSE)</f>
        <v>#N/A</v>
      </c>
      <c r="F41" s="754">
        <v>0</v>
      </c>
      <c r="G41" s="746"/>
      <c r="H41" s="747"/>
      <c r="J41" s="591"/>
      <c r="L41" s="720"/>
      <c r="N41" s="296"/>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51" t="s">
        <v>59</v>
      </c>
      <c r="C42" s="651" t="s">
        <v>607</v>
      </c>
      <c r="D42" s="107" t="s">
        <v>608</v>
      </c>
      <c r="E42" s="685" t="e">
        <f>HLOOKUP($D$2,'2020 Data(H)'!$C$1:$CR$393,252,FALSE)</f>
        <v>#N/A</v>
      </c>
      <c r="F42" s="754">
        <v>0</v>
      </c>
      <c r="G42" s="746">
        <f>IF(F42&lt;0,"Error: Enter as positive.",)</f>
        <v>0</v>
      </c>
      <c r="H42" s="747"/>
      <c r="J42" s="591"/>
      <c r="L42" s="720"/>
      <c r="N42" s="296"/>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51" t="s">
        <v>59</v>
      </c>
      <c r="C43" s="829" t="s">
        <v>607</v>
      </c>
      <c r="D43" s="107" t="s">
        <v>1383</v>
      </c>
      <c r="E43" s="685" t="s">
        <v>1542</v>
      </c>
      <c r="F43" s="754">
        <v>0</v>
      </c>
      <c r="G43" s="746"/>
      <c r="H43" s="747"/>
      <c r="J43" s="591"/>
      <c r="L43" s="720"/>
      <c r="N43" s="296"/>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51" t="s">
        <v>59</v>
      </c>
      <c r="C44" s="829" t="s">
        <v>607</v>
      </c>
      <c r="D44" s="107" t="s">
        <v>1384</v>
      </c>
      <c r="E44" s="685" t="s">
        <v>1542</v>
      </c>
      <c r="F44" s="754">
        <v>0</v>
      </c>
      <c r="G44" s="746"/>
      <c r="H44" s="747"/>
      <c r="J44" s="591"/>
      <c r="L44" s="720"/>
      <c r="N44" s="296"/>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57" t="s">
        <v>1546</v>
      </c>
      <c r="C45" s="913"/>
      <c r="D45" s="914"/>
      <c r="E45" s="890"/>
      <c r="F45" s="864"/>
      <c r="G45" s="875"/>
      <c r="H45" s="747"/>
      <c r="J45" s="591"/>
      <c r="L45" s="720"/>
      <c r="N45" s="296"/>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51" t="s">
        <v>59</v>
      </c>
      <c r="C46" s="829" t="s">
        <v>1385</v>
      </c>
      <c r="D46" s="107" t="s">
        <v>1390</v>
      </c>
      <c r="E46" s="685" t="e">
        <f>HLOOKUP($D$2,'2020 Data(H)'!$C$1:$CR$393,208,FALSE)</f>
        <v>#N/A</v>
      </c>
      <c r="F46" s="754">
        <v>0</v>
      </c>
      <c r="G46" s="746"/>
      <c r="H46" s="747"/>
      <c r="J46" s="591"/>
      <c r="L46" s="720"/>
      <c r="N46" s="296"/>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51" t="s">
        <v>59</v>
      </c>
      <c r="C47" s="829" t="s">
        <v>1385</v>
      </c>
      <c r="D47" s="107" t="s">
        <v>146</v>
      </c>
      <c r="E47" s="685" t="e">
        <f>HLOOKUP($D$2,'2020 Data(H)'!$C$1:$CR$393,209,FALSE)</f>
        <v>#N/A</v>
      </c>
      <c r="F47" s="754">
        <v>0</v>
      </c>
      <c r="G47" s="746"/>
      <c r="H47" s="747"/>
      <c r="J47" s="591"/>
      <c r="L47" s="720"/>
      <c r="N47" s="296"/>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51" t="s">
        <v>59</v>
      </c>
      <c r="C48" s="829" t="s">
        <v>1385</v>
      </c>
      <c r="D48" s="724" t="s">
        <v>1387</v>
      </c>
      <c r="E48" s="685" t="e">
        <f>HLOOKUP($D$2,'2020 Data(H)'!$C$1:$CR$393,210,FALSE)</f>
        <v>#N/A</v>
      </c>
      <c r="F48" s="754">
        <v>0</v>
      </c>
      <c r="G48" s="746"/>
      <c r="H48" s="747"/>
      <c r="J48" s="591"/>
      <c r="L48" s="720"/>
      <c r="N48" s="296"/>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51" t="s">
        <v>59</v>
      </c>
      <c r="C49" s="829" t="s">
        <v>1385</v>
      </c>
      <c r="D49" s="724" t="s">
        <v>1388</v>
      </c>
      <c r="E49" s="685" t="e">
        <f>HLOOKUP($D$2,'2020 Data(H)'!$C$1:$CR$393,211,FALSE)</f>
        <v>#N/A</v>
      </c>
      <c r="F49" s="754">
        <v>0</v>
      </c>
      <c r="G49" s="746"/>
      <c r="H49" s="747"/>
      <c r="J49" s="591"/>
      <c r="L49" s="720"/>
      <c r="N49" s="296"/>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51" t="s">
        <v>59</v>
      </c>
      <c r="C50" s="829" t="s">
        <v>1385</v>
      </c>
      <c r="D50" s="724" t="s">
        <v>1386</v>
      </c>
      <c r="E50" s="685" t="e">
        <f>HLOOKUP($D$2,'2020 Data(H)'!$C$1:$CR$393,213,FALSE)</f>
        <v>#N/A</v>
      </c>
      <c r="F50" s="754">
        <v>0</v>
      </c>
      <c r="G50" s="746"/>
      <c r="H50" s="747"/>
      <c r="J50" s="591"/>
      <c r="L50" s="720"/>
      <c r="N50" s="296"/>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51" t="s">
        <v>59</v>
      </c>
      <c r="C51" s="829" t="s">
        <v>1392</v>
      </c>
      <c r="D51" s="724" t="s">
        <v>1389</v>
      </c>
      <c r="E51" s="685" t="e">
        <f>HLOOKUP($D$2,'2020 Data(H)'!$C$1:$CR$393,214,FALSE)</f>
        <v>#N/A</v>
      </c>
      <c r="F51" s="754">
        <v>0</v>
      </c>
      <c r="G51" s="746"/>
      <c r="H51" s="747"/>
      <c r="J51" s="591"/>
      <c r="L51" s="720"/>
      <c r="N51" s="296"/>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51" t="s">
        <v>59</v>
      </c>
      <c r="C52" s="829" t="s">
        <v>1392</v>
      </c>
      <c r="D52" s="724" t="s">
        <v>1391</v>
      </c>
      <c r="E52" s="685" t="e">
        <f>HLOOKUP($D$2,'2020 Data(H)'!$C$1:$CR$393,218,FALSE)</f>
        <v>#N/A</v>
      </c>
      <c r="F52" s="754">
        <v>0</v>
      </c>
      <c r="G52" s="746"/>
      <c r="H52" s="747"/>
      <c r="J52" s="591"/>
      <c r="L52" s="720"/>
      <c r="N52" s="296"/>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51" t="s">
        <v>59</v>
      </c>
      <c r="C53" s="829" t="s">
        <v>1392</v>
      </c>
      <c r="D53" s="724" t="s">
        <v>532</v>
      </c>
      <c r="E53" s="685" t="e">
        <f>HLOOKUP($D$2,'2020 Data(H)'!$C$1:$CR$393,215,FALSE)</f>
        <v>#N/A</v>
      </c>
      <c r="F53" s="754">
        <v>0</v>
      </c>
      <c r="G53" s="746"/>
      <c r="H53" s="747"/>
      <c r="J53" s="591"/>
      <c r="L53" s="720"/>
      <c r="N53" s="296"/>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51" t="s">
        <v>59</v>
      </c>
      <c r="C54" s="829" t="s">
        <v>1392</v>
      </c>
      <c r="D54" s="724" t="s">
        <v>534</v>
      </c>
      <c r="E54" s="685" t="e">
        <f>HLOOKUP($D$2,'2020 Data(H)'!$C$1:$CR$393,216,FALSE)</f>
        <v>#N/A</v>
      </c>
      <c r="F54" s="754">
        <v>0</v>
      </c>
      <c r="G54" s="746"/>
      <c r="H54" s="747"/>
      <c r="J54" s="591"/>
      <c r="L54" s="720"/>
      <c r="N54" s="296"/>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51" t="s">
        <v>59</v>
      </c>
      <c r="C55" s="829" t="s">
        <v>1392</v>
      </c>
      <c r="D55" s="724" t="s">
        <v>1384</v>
      </c>
      <c r="E55" s="685" t="e">
        <f>HLOOKUP($D$2,'2020 Data(H)'!$C$1:$CR$393,217,FALSE)</f>
        <v>#N/A</v>
      </c>
      <c r="F55" s="754">
        <v>0</v>
      </c>
      <c r="G55" s="746"/>
      <c r="H55" s="747"/>
      <c r="J55" s="591"/>
      <c r="L55" s="720"/>
      <c r="N55" s="296"/>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51" t="s">
        <v>59</v>
      </c>
      <c r="C56" s="829" t="s">
        <v>13</v>
      </c>
      <c r="D56" s="124" t="s">
        <v>1393</v>
      </c>
      <c r="E56" s="685" t="e">
        <f>HLOOKUP($D$2,'2020 Data(H)'!$C$1:$CR$393,212,FALSE)</f>
        <v>#N/A</v>
      </c>
      <c r="F56" s="754">
        <v>0</v>
      </c>
      <c r="G56" s="746"/>
      <c r="H56" s="747"/>
      <c r="J56" s="591"/>
      <c r="L56" s="720"/>
      <c r="N56" s="296"/>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51" t="s">
        <v>59</v>
      </c>
      <c r="C57" s="829" t="s">
        <v>13</v>
      </c>
      <c r="D57" s="724" t="s">
        <v>1394</v>
      </c>
      <c r="E57" s="685" t="e">
        <f>HLOOKUP($D$2,'2020 Data(H)'!$C$1:$CR$393,219,FALSE)</f>
        <v>#N/A</v>
      </c>
      <c r="F57" s="754">
        <v>0</v>
      </c>
      <c r="G57" s="746"/>
      <c r="H57" s="747"/>
      <c r="J57" s="591"/>
      <c r="L57" s="720"/>
      <c r="N57" s="296"/>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08"/>
      <c r="B58" s="857" t="s">
        <v>145</v>
      </c>
      <c r="C58" s="858"/>
      <c r="D58" s="866"/>
      <c r="E58" s="863"/>
      <c r="F58" s="867"/>
      <c r="G58" s="868"/>
      <c r="H58" s="17"/>
      <c r="I58" s="79"/>
      <c r="L58" s="720"/>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08">
        <v>506</v>
      </c>
      <c r="B59" s="830" t="s">
        <v>55</v>
      </c>
      <c r="C59" s="830" t="s">
        <v>149</v>
      </c>
      <c r="D59" s="107" t="s">
        <v>1441</v>
      </c>
      <c r="E59" s="943" t="e">
        <f>HLOOKUP($D$2,'2020 Data(H)'!$C$1:$CR$393,156,FALSE)</f>
        <v>#N/A</v>
      </c>
      <c r="F59" s="295">
        <v>0</v>
      </c>
      <c r="G59" s="746">
        <f>IF(F59&lt;0,"Note: Number is normally positive.",)</f>
        <v>0</v>
      </c>
      <c r="H59" s="747"/>
      <c r="I59" s="79"/>
      <c r="J59" s="591"/>
      <c r="L59" s="720"/>
      <c r="N59" s="296"/>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08">
        <v>536</v>
      </c>
      <c r="B60" s="830" t="s">
        <v>55</v>
      </c>
      <c r="C60" s="830" t="s">
        <v>149</v>
      </c>
      <c r="D60" s="107" t="s">
        <v>146</v>
      </c>
      <c r="E60" s="685" t="e">
        <f>HLOOKUP($D$2,'2020 Data(H)'!$C$1:$CR$393,186,FALSE)</f>
        <v>#N/A</v>
      </c>
      <c r="F60" s="295">
        <v>0</v>
      </c>
      <c r="G60" s="746">
        <f>IF(F60&lt;0,"Note: Number is normally positive.",)</f>
        <v>0</v>
      </c>
      <c r="H60" s="747"/>
      <c r="I60" s="748"/>
      <c r="J60" s="591"/>
      <c r="L60" s="720"/>
      <c r="N60" s="296"/>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08">
        <v>586</v>
      </c>
      <c r="B61" s="830" t="s">
        <v>59</v>
      </c>
      <c r="C61" s="830" t="s">
        <v>149</v>
      </c>
      <c r="D61" s="696" t="s">
        <v>560</v>
      </c>
      <c r="E61" s="685" t="e">
        <f>HLOOKUP($D$2,'2020 Data(H)'!$C$1:$CR$393,236,FALSE)</f>
        <v>#N/A</v>
      </c>
      <c r="F61" s="295">
        <v>0</v>
      </c>
      <c r="G61" s="746">
        <f>IF(F61&lt;0,"Note: Number is normally positive.",)</f>
        <v>0</v>
      </c>
      <c r="H61" s="747"/>
      <c r="I61" s="748"/>
      <c r="L61" s="720"/>
      <c r="N61" s="296"/>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08">
        <v>379</v>
      </c>
      <c r="B62" s="830" t="s">
        <v>60</v>
      </c>
      <c r="C62" s="830" t="s">
        <v>149</v>
      </c>
      <c r="D62" s="107" t="s">
        <v>130</v>
      </c>
      <c r="E62" s="685" t="e">
        <f>HLOOKUP($D$2,'2020 Data(H)'!$C$1:$CR$393,138,FALSE)</f>
        <v>#N/A</v>
      </c>
      <c r="F62" s="295">
        <v>0</v>
      </c>
      <c r="G62" s="746">
        <f>IF((F59+F60)&gt;F62,"Error: Please review account numbers (506+536)&gt;379",)</f>
        <v>0</v>
      </c>
      <c r="H62" s="17"/>
      <c r="I62" s="79"/>
      <c r="J62" s="591"/>
      <c r="L62" s="720"/>
      <c r="Z62" s="108"/>
      <c r="AA62" s="108"/>
      <c r="AB62" s="108"/>
      <c r="AC62" s="108"/>
      <c r="AD62" s="108"/>
      <c r="AE62" s="108"/>
      <c r="AF62" s="108"/>
      <c r="AG62" s="108"/>
      <c r="AH62" s="108"/>
      <c r="AI62" s="108"/>
      <c r="AJ62" s="108"/>
      <c r="AK62" s="108"/>
      <c r="AL62" s="108"/>
      <c r="AM62" s="108"/>
      <c r="AN62" s="108"/>
      <c r="AO62" s="108"/>
      <c r="AP62" s="108"/>
      <c r="AQ62" s="108"/>
      <c r="AR62" s="108"/>
    </row>
    <row r="63" spans="1:44" ht="93" customHeight="1" thickBot="1" x14ac:dyDescent="0.35">
      <c r="A63" s="108">
        <v>368</v>
      </c>
      <c r="B63" s="830" t="s">
        <v>69</v>
      </c>
      <c r="C63" s="830" t="s">
        <v>149</v>
      </c>
      <c r="D63" s="724" t="s">
        <v>1442</v>
      </c>
      <c r="E63" s="685" t="e">
        <f>HLOOKUP($D$2,'2020 Data(H)'!$C$1:$CR$393,129,FALSE)</f>
        <v>#N/A</v>
      </c>
      <c r="F63" s="295">
        <v>0</v>
      </c>
      <c r="G63" s="746">
        <f t="shared" ref="G63:G69" si="1">IF(F63&lt;0,"Error: Enter as positive.",)</f>
        <v>0</v>
      </c>
      <c r="H63" s="17"/>
      <c r="I63" s="747"/>
      <c r="J63" s="591"/>
      <c r="L63" s="720"/>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08">
        <v>4</v>
      </c>
      <c r="B64" s="830" t="s">
        <v>55</v>
      </c>
      <c r="C64" s="830" t="s">
        <v>149</v>
      </c>
      <c r="D64" s="308" t="s">
        <v>1443</v>
      </c>
      <c r="E64" s="685" t="e">
        <f>HLOOKUP($D$2,'2020 Data(H)'!$C$1:$CR$393,3,FALSE)</f>
        <v>#N/A</v>
      </c>
      <c r="F64" s="295">
        <v>0</v>
      </c>
      <c r="G64" s="746">
        <f t="shared" si="1"/>
        <v>0</v>
      </c>
      <c r="H64" s="17"/>
      <c r="I64" s="79"/>
      <c r="J64" s="591"/>
      <c r="L64" s="720"/>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08">
        <v>5</v>
      </c>
      <c r="B65" s="830" t="s">
        <v>55</v>
      </c>
      <c r="C65" s="830" t="s">
        <v>149</v>
      </c>
      <c r="D65" s="338" t="s">
        <v>1444</v>
      </c>
      <c r="E65" s="685" t="e">
        <f>HLOOKUP($D$2,'2020 Data(H)'!$C$1:$CR$393,4,FALSE)</f>
        <v>#N/A</v>
      </c>
      <c r="F65" s="295">
        <v>0</v>
      </c>
      <c r="G65" s="746">
        <f t="shared" si="1"/>
        <v>0</v>
      </c>
      <c r="H65" s="17"/>
      <c r="I65" s="79"/>
      <c r="J65" s="591"/>
      <c r="L65" s="720"/>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08">
        <v>380</v>
      </c>
      <c r="B66" s="830" t="s">
        <v>60</v>
      </c>
      <c r="C66" s="830" t="s">
        <v>149</v>
      </c>
      <c r="D66" s="338" t="s">
        <v>1445</v>
      </c>
      <c r="E66" s="685" t="e">
        <f>HLOOKUP($D$2,'2020 Data(H)'!$C$1:$CR$393,139,FALSE)</f>
        <v>#N/A</v>
      </c>
      <c r="F66" s="295">
        <v>0</v>
      </c>
      <c r="G66" s="746">
        <f t="shared" si="1"/>
        <v>0</v>
      </c>
      <c r="H66" s="17"/>
      <c r="I66" s="79"/>
      <c r="J66" s="591"/>
      <c r="L66" s="720"/>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08">
        <v>391</v>
      </c>
      <c r="B67" s="830" t="s">
        <v>69</v>
      </c>
      <c r="C67" s="830" t="s">
        <v>149</v>
      </c>
      <c r="D67" s="107" t="s">
        <v>147</v>
      </c>
      <c r="E67" s="685" t="e">
        <f>HLOOKUP($D$2,'2020 Data(H)'!$C$1:$CR$393,149,FALSE)</f>
        <v>#N/A</v>
      </c>
      <c r="F67" s="295">
        <v>0</v>
      </c>
      <c r="G67" s="746">
        <f t="shared" si="1"/>
        <v>0</v>
      </c>
      <c r="H67" s="17"/>
      <c r="I67" s="79"/>
      <c r="J67" s="591"/>
      <c r="L67" s="720"/>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08">
        <v>7</v>
      </c>
      <c r="B68" s="830" t="s">
        <v>69</v>
      </c>
      <c r="C68" s="830" t="s">
        <v>149</v>
      </c>
      <c r="D68" s="107" t="s">
        <v>148</v>
      </c>
      <c r="E68" s="685" t="e">
        <f>HLOOKUP($D$2,'2020 Data(H)'!$C$1:$CR$393,6,FALSE)</f>
        <v>#N/A</v>
      </c>
      <c r="F68" s="295">
        <v>0</v>
      </c>
      <c r="G68" s="746">
        <f t="shared" si="1"/>
        <v>0</v>
      </c>
      <c r="H68" s="17"/>
      <c r="I68" s="79"/>
      <c r="J68" s="591"/>
      <c r="L68" s="720"/>
      <c r="Z68" s="108"/>
      <c r="AA68" s="108"/>
      <c r="AB68" s="108"/>
      <c r="AC68" s="108"/>
      <c r="AD68" s="108"/>
      <c r="AE68" s="108"/>
      <c r="AF68" s="108"/>
      <c r="AG68" s="108"/>
      <c r="AH68" s="108"/>
      <c r="AI68" s="108"/>
      <c r="AJ68" s="108"/>
      <c r="AK68" s="108"/>
      <c r="AL68" s="108"/>
      <c r="AM68" s="108"/>
      <c r="AN68" s="108"/>
      <c r="AO68" s="108"/>
      <c r="AP68" s="108"/>
      <c r="AQ68" s="108"/>
      <c r="AR68" s="108"/>
    </row>
    <row r="69" spans="1:44" ht="78.75" customHeight="1" thickBot="1" x14ac:dyDescent="0.35">
      <c r="A69" s="108">
        <v>11</v>
      </c>
      <c r="B69" s="830" t="s">
        <v>69</v>
      </c>
      <c r="C69" s="830" t="s">
        <v>149</v>
      </c>
      <c r="D69" s="724" t="s">
        <v>1446</v>
      </c>
      <c r="E69" s="685" t="e">
        <f>HLOOKUP($D$2,'2020 Data(H)'!$C$1:$CR$393,8,FALSE)</f>
        <v>#N/A</v>
      </c>
      <c r="F69" s="295">
        <v>0</v>
      </c>
      <c r="G69" s="746">
        <f t="shared" si="1"/>
        <v>0</v>
      </c>
      <c r="H69" s="17"/>
      <c r="I69" s="79"/>
      <c r="J69" s="591"/>
      <c r="L69" s="720"/>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309">
        <v>645</v>
      </c>
      <c r="B70" s="827" t="s">
        <v>716</v>
      </c>
      <c r="C70" s="827" t="s">
        <v>149</v>
      </c>
      <c r="D70" s="719" t="s">
        <v>749</v>
      </c>
      <c r="E70" s="685" t="e">
        <f>HLOOKUP($D$2,'2020 Data(H)'!$C$1:$CR$393,304,FALSE)</f>
        <v>#N/A</v>
      </c>
      <c r="F70" s="295">
        <v>0</v>
      </c>
      <c r="G70" s="746">
        <f>IF(F70&lt;0,"Note: Number is normally positive.",)</f>
        <v>0</v>
      </c>
      <c r="H70" s="747"/>
      <c r="I70" s="748"/>
      <c r="J70" s="591"/>
      <c r="L70" s="720"/>
      <c r="Z70" s="309"/>
      <c r="AA70" s="309"/>
      <c r="AB70" s="309"/>
      <c r="AC70" s="309"/>
      <c r="AD70" s="309"/>
      <c r="AE70" s="309"/>
      <c r="AF70" s="309"/>
      <c r="AG70" s="309"/>
      <c r="AH70" s="309"/>
      <c r="AI70" s="309"/>
      <c r="AJ70" s="309"/>
      <c r="AK70" s="309"/>
      <c r="AL70" s="309"/>
      <c r="AM70" s="309"/>
      <c r="AN70" s="309"/>
      <c r="AO70" s="309"/>
      <c r="AP70" s="309"/>
      <c r="AQ70" s="309"/>
      <c r="AR70" s="309"/>
    </row>
    <row r="71" spans="1:44" ht="78.75" customHeight="1" thickBot="1" x14ac:dyDescent="0.35">
      <c r="A71" s="309">
        <v>646</v>
      </c>
      <c r="B71" s="827" t="s">
        <v>716</v>
      </c>
      <c r="C71" s="827" t="s">
        <v>149</v>
      </c>
      <c r="D71" s="308" t="s">
        <v>717</v>
      </c>
      <c r="E71" s="685" t="e">
        <f>HLOOKUP($D$2,'2020 Data(H)'!$C$1:$CR$393,305,FALSE)</f>
        <v>#N/A</v>
      </c>
      <c r="F71" s="295">
        <v>0</v>
      </c>
      <c r="G71" s="746">
        <f>IF(F71&lt;0,"Note: Number is normally positive.",)</f>
        <v>0</v>
      </c>
      <c r="H71" s="747"/>
      <c r="I71" s="748"/>
      <c r="J71" s="591"/>
      <c r="L71" s="720"/>
      <c r="Z71" s="309"/>
      <c r="AA71" s="309"/>
      <c r="AB71" s="309"/>
      <c r="AC71" s="309"/>
      <c r="AD71" s="309"/>
      <c r="AE71" s="309"/>
      <c r="AF71" s="309"/>
      <c r="AG71" s="309"/>
      <c r="AH71" s="309"/>
      <c r="AI71" s="309"/>
      <c r="AJ71" s="309"/>
      <c r="AK71" s="309"/>
      <c r="AL71" s="309"/>
      <c r="AM71" s="309"/>
      <c r="AN71" s="309"/>
      <c r="AO71" s="309"/>
      <c r="AP71" s="309"/>
      <c r="AQ71" s="309"/>
      <c r="AR71" s="309"/>
    </row>
    <row r="72" spans="1:44" ht="57.75" customHeight="1" thickBot="1" x14ac:dyDescent="0.35">
      <c r="A72" s="108">
        <v>9</v>
      </c>
      <c r="B72" s="830" t="s">
        <v>60</v>
      </c>
      <c r="C72" s="830" t="s">
        <v>149</v>
      </c>
      <c r="D72" s="724" t="s">
        <v>1447</v>
      </c>
      <c r="E72" s="685" t="e">
        <f>HLOOKUP($D$2,'2020 Data(H)'!$C$1:$CR$393,7,FALSE)</f>
        <v>#N/A</v>
      </c>
      <c r="F72" s="295">
        <v>0</v>
      </c>
      <c r="G72" s="746">
        <f>IF(F62-F64-F65-F66-F72=0,,"Error: Total assets less total liabilities do not equal total fund balance. Account numbers 379-4-5-380-9= 0  The amount of the formula is in the cell to the right")</f>
        <v>0</v>
      </c>
      <c r="H72" s="749">
        <f>F62-F64-F65-F66-F72</f>
        <v>0</v>
      </c>
      <c r="I72" s="79"/>
      <c r="J72" s="591"/>
      <c r="L72" s="720"/>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customHeight="1" thickBot="1" x14ac:dyDescent="0.35">
      <c r="A73" s="108">
        <v>540</v>
      </c>
      <c r="B73" s="651" t="s">
        <v>59</v>
      </c>
      <c r="C73" s="651" t="s">
        <v>1448</v>
      </c>
      <c r="D73" s="107" t="s">
        <v>750</v>
      </c>
      <c r="E73" s="685" t="e">
        <f>HLOOKUP($D$2,'2020 Data(H)'!$C$1:$CR$393,190,FALSE)</f>
        <v>#N/A</v>
      </c>
      <c r="F73" s="295">
        <v>0</v>
      </c>
      <c r="G73" s="746"/>
      <c r="H73" s="747"/>
      <c r="I73" s="748"/>
      <c r="J73" s="591"/>
      <c r="L73" s="720"/>
      <c r="N73" s="296"/>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08"/>
      <c r="B74" s="857" t="s">
        <v>151</v>
      </c>
      <c r="C74" s="858"/>
      <c r="D74" s="862"/>
      <c r="E74" s="863"/>
      <c r="F74" s="864"/>
      <c r="G74" s="865"/>
      <c r="H74" s="17"/>
      <c r="I74" s="79"/>
      <c r="L74" s="720"/>
      <c r="Z74" s="108"/>
      <c r="AA74" s="108"/>
      <c r="AB74" s="108"/>
      <c r="AC74" s="108"/>
      <c r="AD74" s="108"/>
      <c r="AE74" s="108"/>
      <c r="AF74" s="108"/>
      <c r="AG74" s="108"/>
      <c r="AH74" s="108"/>
      <c r="AI74" s="108"/>
      <c r="AJ74" s="108"/>
      <c r="AK74" s="108"/>
      <c r="AL74" s="108"/>
      <c r="AM74" s="108"/>
      <c r="AN74" s="108"/>
      <c r="AO74" s="108"/>
      <c r="AP74" s="108"/>
      <c r="AQ74" s="108"/>
      <c r="AR74" s="108"/>
    </row>
    <row r="75" spans="1:44" ht="82.5" customHeight="1" thickBot="1" x14ac:dyDescent="0.35">
      <c r="A75" s="108">
        <v>984</v>
      </c>
      <c r="B75" s="730" t="s">
        <v>1041</v>
      </c>
      <c r="C75" s="730" t="s">
        <v>1448</v>
      </c>
      <c r="D75" s="755" t="s">
        <v>1543</v>
      </c>
      <c r="E75" s="685" t="s">
        <v>1042</v>
      </c>
      <c r="F75" s="295">
        <v>0</v>
      </c>
      <c r="G75" s="746"/>
      <c r="H75" s="17"/>
      <c r="I75" s="79"/>
      <c r="J75" s="591"/>
      <c r="L75" s="720"/>
      <c r="Z75" s="108"/>
      <c r="AA75" s="108"/>
      <c r="AB75" s="108"/>
      <c r="AC75" s="108"/>
      <c r="AD75" s="108"/>
      <c r="AE75" s="108"/>
      <c r="AF75" s="108"/>
      <c r="AG75" s="108"/>
      <c r="AH75" s="108"/>
      <c r="AI75" s="108"/>
      <c r="AJ75" s="108"/>
      <c r="AK75" s="108"/>
      <c r="AL75" s="108"/>
      <c r="AM75" s="108"/>
      <c r="AN75" s="108"/>
      <c r="AO75" s="108"/>
      <c r="AP75" s="108"/>
      <c r="AQ75" s="108"/>
      <c r="AR75" s="108"/>
    </row>
    <row r="76" spans="1:44" ht="69" customHeight="1" thickBot="1" x14ac:dyDescent="0.35">
      <c r="A76" s="108">
        <v>985</v>
      </c>
      <c r="B76" s="730" t="s">
        <v>1041</v>
      </c>
      <c r="C76" s="730" t="s">
        <v>1448</v>
      </c>
      <c r="D76" s="755" t="s">
        <v>1544</v>
      </c>
      <c r="E76" s="685" t="s">
        <v>1042</v>
      </c>
      <c r="F76" s="295">
        <v>0</v>
      </c>
      <c r="G76" s="746"/>
      <c r="H76" s="17"/>
      <c r="I76" s="79"/>
      <c r="J76" s="591"/>
      <c r="L76" s="720"/>
      <c r="Z76" s="108"/>
      <c r="AA76" s="108"/>
      <c r="AB76" s="108"/>
      <c r="AC76" s="108"/>
      <c r="AD76" s="108"/>
      <c r="AE76" s="108"/>
      <c r="AF76" s="108"/>
      <c r="AG76" s="108"/>
      <c r="AH76" s="108"/>
      <c r="AI76" s="108"/>
      <c r="AJ76" s="108"/>
      <c r="AK76" s="108"/>
      <c r="AL76" s="108"/>
      <c r="AM76" s="108"/>
      <c r="AN76" s="108"/>
      <c r="AO76" s="108"/>
      <c r="AP76" s="108"/>
      <c r="AQ76" s="108"/>
      <c r="AR76" s="108"/>
    </row>
    <row r="77" spans="1:44" ht="52.5" customHeight="1" thickBot="1" x14ac:dyDescent="0.35">
      <c r="A77" s="108">
        <v>369</v>
      </c>
      <c r="B77" s="609" t="s">
        <v>56</v>
      </c>
      <c r="C77" s="609" t="s">
        <v>152</v>
      </c>
      <c r="D77" s="724" t="s">
        <v>1449</v>
      </c>
      <c r="E77" s="685" t="e">
        <f>HLOOKUP($D$2,'2020 Data(H)'!$C$1:$CR$393,130,FALSE)</f>
        <v>#N/A</v>
      </c>
      <c r="F77" s="295">
        <v>0</v>
      </c>
      <c r="G77" s="746"/>
      <c r="H77" s="17"/>
      <c r="I77" s="79"/>
      <c r="J77" s="591"/>
      <c r="L77" s="720"/>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08">
        <v>16</v>
      </c>
      <c r="B78" s="609" t="s">
        <v>66</v>
      </c>
      <c r="C78" s="609" t="s">
        <v>152</v>
      </c>
      <c r="D78" s="107" t="s">
        <v>150</v>
      </c>
      <c r="E78" s="685" t="e">
        <f>HLOOKUP($D$2,'2020 Data(H)'!$C$1:$CR$393,12,FALSE)</f>
        <v>#N/A</v>
      </c>
      <c r="F78" s="295">
        <v>0</v>
      </c>
      <c r="G78" s="746"/>
      <c r="H78" s="17"/>
      <c r="I78" s="79"/>
      <c r="J78" s="591"/>
      <c r="L78" s="720"/>
      <c r="Z78" s="108"/>
      <c r="AA78" s="108"/>
      <c r="AB78" s="108"/>
      <c r="AC78" s="108"/>
      <c r="AD78" s="108"/>
      <c r="AE78" s="108"/>
      <c r="AF78" s="108"/>
      <c r="AG78" s="108"/>
      <c r="AH78" s="108"/>
      <c r="AI78" s="108"/>
      <c r="AJ78" s="108"/>
      <c r="AK78" s="108"/>
      <c r="AL78" s="108"/>
      <c r="AM78" s="108"/>
      <c r="AN78" s="108"/>
      <c r="AO78" s="108"/>
      <c r="AP78" s="108"/>
      <c r="AQ78" s="108"/>
      <c r="AR78" s="108"/>
    </row>
    <row r="79" spans="1:44" ht="65.25" customHeight="1" thickBot="1" x14ac:dyDescent="0.35">
      <c r="A79" s="108">
        <v>370</v>
      </c>
      <c r="B79" s="609" t="s">
        <v>56</v>
      </c>
      <c r="C79" s="609" t="s">
        <v>152</v>
      </c>
      <c r="D79" s="724" t="s">
        <v>1450</v>
      </c>
      <c r="E79" s="685" t="e">
        <f>HLOOKUP($D$2,'2020 Data(H)'!$C$1:$CR$393,131,FALSE)</f>
        <v>#N/A</v>
      </c>
      <c r="F79" s="295">
        <v>0</v>
      </c>
      <c r="G79" s="746">
        <f>IF(F79&lt;0,"Error: Enter as positive.",)</f>
        <v>0</v>
      </c>
      <c r="H79" s="17"/>
      <c r="I79" s="79"/>
      <c r="J79" s="591"/>
      <c r="L79" s="720"/>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08">
        <v>532</v>
      </c>
      <c r="B80" s="609" t="s">
        <v>55</v>
      </c>
      <c r="C80" s="609" t="s">
        <v>152</v>
      </c>
      <c r="D80" s="709" t="s">
        <v>1451</v>
      </c>
      <c r="E80" s="685" t="e">
        <f>HLOOKUP($D$2,'2020 Data(H)'!$C$1:$CR$393,182,FALSE)</f>
        <v>#N/A</v>
      </c>
      <c r="F80" s="295">
        <v>0</v>
      </c>
      <c r="G80" s="746">
        <f>IF(F80&lt;0,"Error: Enter as positive.",)</f>
        <v>0</v>
      </c>
      <c r="H80" s="17"/>
      <c r="I80" s="79"/>
      <c r="J80" s="591"/>
      <c r="L80" s="720"/>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08">
        <v>17</v>
      </c>
      <c r="B81" s="609" t="s">
        <v>60</v>
      </c>
      <c r="C81" s="609" t="s">
        <v>152</v>
      </c>
      <c r="D81" s="107" t="s">
        <v>1452</v>
      </c>
      <c r="E81" s="685" t="e">
        <f>HLOOKUP($D$2,'2020 Data(H)'!$C$1:$CR$393,13,FALSE)</f>
        <v>#N/A</v>
      </c>
      <c r="F81" s="295">
        <v>0</v>
      </c>
      <c r="G81" s="746"/>
      <c r="H81" s="17"/>
      <c r="I81" s="79"/>
      <c r="L81" s="720"/>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08">
        <v>20</v>
      </c>
      <c r="B82" s="609" t="s">
        <v>55</v>
      </c>
      <c r="C82" s="609" t="s">
        <v>152</v>
      </c>
      <c r="D82" s="107" t="s">
        <v>1453</v>
      </c>
      <c r="E82" s="685" t="e">
        <f>HLOOKUP($D$2,'2020 Data(H)'!$C$1:$CR$393,15,FALSE)</f>
        <v>#N/A</v>
      </c>
      <c r="F82" s="295">
        <v>0</v>
      </c>
      <c r="G82" s="746">
        <f>IF(F82&lt;0,"Error: Enter as positive.",)</f>
        <v>0</v>
      </c>
      <c r="H82" s="17"/>
      <c r="I82" s="79"/>
      <c r="L82" s="720"/>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08">
        <v>533</v>
      </c>
      <c r="B83" s="609" t="s">
        <v>55</v>
      </c>
      <c r="C83" s="609" t="s">
        <v>152</v>
      </c>
      <c r="D83" s="709" t="s">
        <v>1454</v>
      </c>
      <c r="E83" s="685" t="e">
        <f>HLOOKUP($D$2,'2020 Data(H)'!$C$1:$CR$393,183,FALSE)</f>
        <v>#N/A</v>
      </c>
      <c r="F83" s="295">
        <v>0</v>
      </c>
      <c r="G83" s="756"/>
      <c r="H83" s="17"/>
      <c r="I83" s="79"/>
      <c r="L83" s="720"/>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08">
        <v>508</v>
      </c>
      <c r="B84" s="609" t="s">
        <v>55</v>
      </c>
      <c r="C84" s="609" t="s">
        <v>152</v>
      </c>
      <c r="D84" s="107" t="s">
        <v>534</v>
      </c>
      <c r="E84" s="685" t="e">
        <f>HLOOKUP($D$2,'2020 Data(H)'!$C$1:$CR$393,158,FALSE)</f>
        <v>#N/A</v>
      </c>
      <c r="F84" s="295">
        <v>0</v>
      </c>
      <c r="G84" s="746"/>
      <c r="H84" s="747"/>
      <c r="I84" s="748"/>
      <c r="L84" s="720"/>
      <c r="N84" s="296"/>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08">
        <v>509</v>
      </c>
      <c r="B85" s="609" t="s">
        <v>55</v>
      </c>
      <c r="C85" s="609" t="s">
        <v>152</v>
      </c>
      <c r="D85" s="107" t="s">
        <v>532</v>
      </c>
      <c r="E85" s="685" t="e">
        <f>HLOOKUP($D$2,'2020 Data(H)'!$C$1:$CR$393,159,FALSE)</f>
        <v>#N/A</v>
      </c>
      <c r="F85" s="295">
        <v>0</v>
      </c>
      <c r="G85" s="746">
        <f>IF(F85&lt;0,"Error: Enter as positive.",)</f>
        <v>0</v>
      </c>
      <c r="H85" s="747"/>
      <c r="I85" s="748"/>
      <c r="L85" s="720"/>
      <c r="N85" s="296"/>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08">
        <v>22</v>
      </c>
      <c r="B86" s="609" t="s">
        <v>60</v>
      </c>
      <c r="C86" s="609" t="s">
        <v>152</v>
      </c>
      <c r="D86" s="107" t="s">
        <v>533</v>
      </c>
      <c r="E86" s="685" t="e">
        <f>HLOOKUP($D$2,'2020 Data(H)'!$C$1:$CR$393,17,FALSE)</f>
        <v>#N/A</v>
      </c>
      <c r="F86" s="295">
        <v>0</v>
      </c>
      <c r="G86" s="756"/>
      <c r="H86" s="17"/>
      <c r="I86" s="79"/>
      <c r="J86" s="591"/>
      <c r="L86" s="720"/>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08">
        <v>23</v>
      </c>
      <c r="B87" s="609" t="s">
        <v>60</v>
      </c>
      <c r="C87" s="609" t="s">
        <v>152</v>
      </c>
      <c r="D87" s="724" t="s">
        <v>1455</v>
      </c>
      <c r="E87" s="685" t="e">
        <f>HLOOKUP($D$2,'2020 Data(H)'!$C$1:$CR$393,18,FALSE)</f>
        <v>#N/A</v>
      </c>
      <c r="F87" s="295">
        <v>0</v>
      </c>
      <c r="G87" s="746">
        <f>IF(H87=0,,"Error: Total revenues less total expenditures do not equal total change in fund balance.  Account numbers 16-532+17-20+533+22+508-509-23=0  The amount of the formula is located in the cell to the right")</f>
        <v>0</v>
      </c>
      <c r="H87" s="749">
        <f>+F78-F80+F81-F82+F83+F86+F84-F85-F87</f>
        <v>0</v>
      </c>
      <c r="I87" s="79"/>
      <c r="J87" s="591"/>
      <c r="L87" s="720"/>
      <c r="Z87" s="108"/>
      <c r="AA87" s="108"/>
      <c r="AB87" s="108"/>
      <c r="AC87" s="108"/>
      <c r="AD87" s="108"/>
      <c r="AE87" s="108"/>
      <c r="AF87" s="108"/>
      <c r="AG87" s="108"/>
      <c r="AH87" s="108"/>
      <c r="AI87" s="108"/>
      <c r="AJ87" s="108"/>
      <c r="AK87" s="108"/>
      <c r="AL87" s="108"/>
      <c r="AM87" s="108"/>
      <c r="AN87" s="108"/>
      <c r="AO87" s="108"/>
      <c r="AP87" s="108"/>
      <c r="AQ87" s="108"/>
      <c r="AR87" s="108"/>
    </row>
    <row r="88" spans="1:44" ht="194.25" customHeight="1" thickBot="1" x14ac:dyDescent="0.35">
      <c r="A88" s="108">
        <v>590</v>
      </c>
      <c r="B88" s="609" t="s">
        <v>603</v>
      </c>
      <c r="C88" s="609"/>
      <c r="D88" s="724" t="s">
        <v>1833</v>
      </c>
      <c r="E88" s="923"/>
      <c r="F88" s="295"/>
      <c r="G88" s="295"/>
      <c r="H88" s="749"/>
      <c r="I88" s="79"/>
      <c r="K88" s="757"/>
      <c r="L88" s="720"/>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08">
        <v>507</v>
      </c>
      <c r="B89" s="609" t="s">
        <v>60</v>
      </c>
      <c r="C89" s="609" t="s">
        <v>152</v>
      </c>
      <c r="D89" s="724" t="s">
        <v>1456</v>
      </c>
      <c r="E89" s="685" t="e">
        <f>HLOOKUP($D$2,'2020 Data(H)'!$C$1:$CR$393,157,FALSE)</f>
        <v>#N/A</v>
      </c>
      <c r="F89" s="295">
        <v>0</v>
      </c>
      <c r="G89" s="746" t="e">
        <f>IF(F72-F87-F89=E72,,"Error: Beginning Balance does not agree with our records.  (Acct# 9-23-507)= Prior Years Acct # 9 The amount of the formula is in the cell to the right")</f>
        <v>#N/A</v>
      </c>
      <c r="H89" s="749" t="e">
        <f>+F72-F87-F89-E72</f>
        <v>#N/A</v>
      </c>
      <c r="I89" s="1173" t="s">
        <v>1829</v>
      </c>
      <c r="L89" s="720"/>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31" t="s">
        <v>1267</v>
      </c>
      <c r="C90" s="831" t="s">
        <v>1268</v>
      </c>
      <c r="D90" s="724" t="s">
        <v>1269</v>
      </c>
      <c r="E90" s="685" t="e">
        <f>HLOOKUP($D$2,'2020 Data(H)'!$C$1:$CR$393,67,FALSE)</f>
        <v>#N/A</v>
      </c>
      <c r="F90" s="295">
        <v>0</v>
      </c>
      <c r="G90" s="746"/>
      <c r="H90" s="749"/>
      <c r="I90" s="79"/>
      <c r="L90" s="720"/>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31" t="s">
        <v>1267</v>
      </c>
      <c r="C91" s="831" t="s">
        <v>1268</v>
      </c>
      <c r="D91" s="724" t="s">
        <v>1270</v>
      </c>
      <c r="E91" s="685" t="e">
        <f>HLOOKUP($D$2,'2020 Data(H)'!$C$1:$CR$393,235,FALSE)</f>
        <v>#N/A</v>
      </c>
      <c r="F91" s="295">
        <v>0</v>
      </c>
      <c r="G91" s="746"/>
      <c r="H91" s="749"/>
      <c r="I91" s="79"/>
      <c r="L91" s="720"/>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31" t="s">
        <v>1267</v>
      </c>
      <c r="C92" s="831" t="s">
        <v>1268</v>
      </c>
      <c r="D92" s="724" t="s">
        <v>1271</v>
      </c>
      <c r="E92" s="685" t="e">
        <f>HLOOKUP($D$2,'2020 Data(H)'!$C$1:$CR$393,196,FALSE)</f>
        <v>#N/A</v>
      </c>
      <c r="F92" s="295">
        <v>0</v>
      </c>
      <c r="G92" s="746"/>
      <c r="H92" s="749"/>
      <c r="I92" s="79"/>
      <c r="L92" s="720"/>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31" t="s">
        <v>1267</v>
      </c>
      <c r="C93" s="831" t="s">
        <v>1268</v>
      </c>
      <c r="D93" s="724" t="s">
        <v>1272</v>
      </c>
      <c r="E93" s="685" t="e">
        <f>HLOOKUP($D$2,'2020 Data(H)'!$C$1:$CR$393,239,FALSE)</f>
        <v>#N/A</v>
      </c>
      <c r="F93" s="295">
        <v>0</v>
      </c>
      <c r="G93" s="746"/>
      <c r="H93" s="749"/>
      <c r="I93" s="79"/>
      <c r="L93" s="720"/>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75">
        <v>149</v>
      </c>
      <c r="B94" s="609" t="s">
        <v>1267</v>
      </c>
      <c r="C94" s="609" t="s">
        <v>1268</v>
      </c>
      <c r="D94" s="724" t="s">
        <v>1349</v>
      </c>
      <c r="E94" s="685" t="e">
        <f>HLOOKUP($D$2,'2020 Data(H)'!$C$1:$CR$393,69,FALSE)</f>
        <v>#N/A</v>
      </c>
      <c r="F94" s="295">
        <v>0</v>
      </c>
      <c r="G94" s="746"/>
      <c r="H94" s="749"/>
      <c r="I94" s="79"/>
      <c r="L94" s="720"/>
      <c r="Z94" s="575"/>
      <c r="AA94" s="575"/>
      <c r="AB94" s="575"/>
      <c r="AC94" s="575"/>
      <c r="AD94" s="575"/>
      <c r="AE94" s="575"/>
      <c r="AF94" s="575"/>
      <c r="AG94" s="575"/>
      <c r="AH94" s="575"/>
      <c r="AI94" s="575"/>
      <c r="AJ94" s="575"/>
      <c r="AK94" s="575"/>
      <c r="AL94" s="575"/>
      <c r="AM94" s="575"/>
      <c r="AN94" s="575"/>
      <c r="AO94" s="575"/>
      <c r="AP94" s="575"/>
      <c r="AQ94" s="575"/>
      <c r="AR94" s="575"/>
    </row>
    <row r="95" spans="1:44" ht="115.5" hidden="1" customHeight="1" thickBot="1" x14ac:dyDescent="0.35">
      <c r="A95" s="108">
        <v>150</v>
      </c>
      <c r="B95" s="609" t="s">
        <v>1267</v>
      </c>
      <c r="C95" s="609" t="s">
        <v>1268</v>
      </c>
      <c r="D95" s="724" t="s">
        <v>1350</v>
      </c>
      <c r="E95" s="685" t="e">
        <f>HLOOKUP($D$2,'2020 Data(H)'!$C$1:$CR$393,70,FALSE)</f>
        <v>#N/A</v>
      </c>
      <c r="F95" s="295">
        <v>0</v>
      </c>
      <c r="G95" s="746"/>
      <c r="H95" s="749"/>
      <c r="I95" s="79"/>
      <c r="L95" s="720"/>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51" t="s">
        <v>1351</v>
      </c>
      <c r="C96" s="651" t="s">
        <v>1352</v>
      </c>
      <c r="D96" s="724" t="s">
        <v>1457</v>
      </c>
      <c r="E96" s="685" t="e">
        <f>HLOOKUP($D$2,'2020 Data(H)'!$C$1:$CR$393,237,FALSE)</f>
        <v>#N/A</v>
      </c>
      <c r="F96" s="295">
        <v>0</v>
      </c>
      <c r="G96" s="746"/>
      <c r="H96" s="749"/>
      <c r="I96" s="79"/>
      <c r="L96" s="720"/>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51" t="s">
        <v>1351</v>
      </c>
      <c r="C97" s="651" t="s">
        <v>1352</v>
      </c>
      <c r="D97" s="724" t="s">
        <v>1458</v>
      </c>
      <c r="E97" s="685" t="e">
        <f>HLOOKUP($D$2,'2020 Data(H)'!$C$1:$CR$393,238,FALSE)</f>
        <v>#N/A</v>
      </c>
      <c r="F97" s="295">
        <v>0</v>
      </c>
      <c r="G97" s="746"/>
      <c r="H97" s="749"/>
      <c r="I97" s="79"/>
      <c r="L97" s="720"/>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309">
        <v>647</v>
      </c>
      <c r="B98" s="827" t="s">
        <v>716</v>
      </c>
      <c r="C98" s="826" t="s">
        <v>718</v>
      </c>
      <c r="D98" s="308" t="s">
        <v>719</v>
      </c>
      <c r="E98" s="685" t="e">
        <f>HLOOKUP($D$2,'2020 Data(H)'!$C$1:$CR$393,306,FALSE)</f>
        <v>#N/A</v>
      </c>
      <c r="F98" s="295">
        <v>0</v>
      </c>
      <c r="G98" s="746">
        <f>IF(F98&lt;0,"Error: Enter as positive.",)</f>
        <v>0</v>
      </c>
      <c r="H98" s="758"/>
      <c r="I98" s="79"/>
      <c r="L98" s="720"/>
      <c r="Z98" s="309"/>
      <c r="AA98" s="309"/>
      <c r="AB98" s="309"/>
      <c r="AC98" s="309"/>
      <c r="AD98" s="309"/>
      <c r="AE98" s="309"/>
      <c r="AF98" s="309"/>
      <c r="AG98" s="309"/>
      <c r="AH98" s="309"/>
      <c r="AI98" s="309"/>
      <c r="AJ98" s="309"/>
      <c r="AK98" s="309"/>
      <c r="AL98" s="309"/>
      <c r="AM98" s="309"/>
      <c r="AN98" s="309"/>
      <c r="AO98" s="309"/>
      <c r="AP98" s="309"/>
      <c r="AQ98" s="309"/>
      <c r="AR98" s="309"/>
    </row>
    <row r="99" spans="1:44" ht="25.5" customHeight="1" thickBot="1" x14ac:dyDescent="0.35">
      <c r="A99" s="108"/>
      <c r="B99" s="857" t="s">
        <v>11</v>
      </c>
      <c r="C99" s="858"/>
      <c r="D99" s="859"/>
      <c r="E99" s="855"/>
      <c r="F99" s="860"/>
      <c r="G99" s="861"/>
      <c r="H99" s="17"/>
      <c r="I99" s="79"/>
      <c r="L99" s="720"/>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609" t="s">
        <v>1275</v>
      </c>
      <c r="C100" s="651" t="s">
        <v>1273</v>
      </c>
      <c r="D100" s="651" t="s">
        <v>1274</v>
      </c>
      <c r="E100" s="685" t="e">
        <f>HLOOKUP($D$2,'2020 Data(H)'!$C$1:$CR$393,68,FALSE)</f>
        <v>#N/A</v>
      </c>
      <c r="F100" s="295">
        <v>0</v>
      </c>
      <c r="G100" s="759"/>
      <c r="H100" s="17"/>
      <c r="I100" s="79"/>
      <c r="L100" s="720"/>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customHeight="1" thickBot="1" x14ac:dyDescent="0.35">
      <c r="A101" s="108">
        <v>171</v>
      </c>
      <c r="B101" s="609" t="s">
        <v>537</v>
      </c>
      <c r="C101" s="609" t="s">
        <v>536</v>
      </c>
      <c r="D101" s="686" t="s">
        <v>1459</v>
      </c>
      <c r="E101" s="685" t="e">
        <f>HLOOKUP($D$2,'2020 Data(H)'!$C$1:$CR$393,71,FALSE)</f>
        <v>#N/A</v>
      </c>
      <c r="F101" s="274">
        <v>0</v>
      </c>
      <c r="G101" s="746">
        <f>IF(F101&lt;0,"Error: Enter as positive.",)</f>
        <v>0</v>
      </c>
      <c r="H101" s="17"/>
      <c r="I101" s="79"/>
      <c r="J101" s="591"/>
      <c r="L101" s="720"/>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08"/>
      <c r="B102" s="856" t="s">
        <v>1341</v>
      </c>
      <c r="C102" s="855"/>
      <c r="D102" s="855"/>
      <c r="E102" s="855"/>
      <c r="F102" s="855"/>
      <c r="G102" s="855"/>
      <c r="H102" s="17"/>
      <c r="I102" s="79"/>
      <c r="J102" s="591"/>
      <c r="L102" s="720"/>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32" t="s">
        <v>716</v>
      </c>
      <c r="C103" s="338" t="s">
        <v>1355</v>
      </c>
      <c r="D103" s="684" t="s">
        <v>1378</v>
      </c>
      <c r="E103" s="685" t="e">
        <f>HLOOKUP($D$2,'2020 Data(H)'!$C$1:$CR$393,24,FALSE)</f>
        <v>#N/A</v>
      </c>
      <c r="F103" s="295">
        <v>0</v>
      </c>
      <c r="G103" s="833"/>
      <c r="H103" s="17"/>
      <c r="I103" s="79"/>
      <c r="J103" s="591"/>
      <c r="L103" s="720"/>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08">
        <v>534</v>
      </c>
      <c r="B104" s="832" t="s">
        <v>716</v>
      </c>
      <c r="C104" s="338" t="s">
        <v>1355</v>
      </c>
      <c r="D104" s="724" t="s">
        <v>1379</v>
      </c>
      <c r="E104" s="685" t="e">
        <f>HLOOKUP($D$2,'2020 Data(H)'!$C$1:$CR$393,184,FALSE)</f>
        <v>#N/A</v>
      </c>
      <c r="F104" s="295">
        <v>0</v>
      </c>
      <c r="G104" s="833"/>
      <c r="H104" s="17"/>
      <c r="I104" s="79"/>
      <c r="J104" s="591"/>
      <c r="L104" s="720"/>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616">
        <v>13</v>
      </c>
      <c r="B105" s="832" t="s">
        <v>603</v>
      </c>
      <c r="C105" s="835" t="s">
        <v>1342</v>
      </c>
      <c r="D105" s="835" t="s">
        <v>1545</v>
      </c>
      <c r="E105" s="685" t="e">
        <f>HLOOKUP($D$2,'2020 Data(H)'!$C$1:$CR$393,10,FALSE)</f>
        <v>#N/A</v>
      </c>
      <c r="F105" s="295">
        <v>0</v>
      </c>
      <c r="G105" s="746"/>
      <c r="H105" s="17"/>
      <c r="I105" s="79"/>
      <c r="J105" s="591"/>
      <c r="L105" s="720"/>
      <c r="Z105" s="834"/>
      <c r="AA105" s="834"/>
      <c r="AB105" s="834"/>
      <c r="AC105" s="834"/>
      <c r="AD105" s="834"/>
      <c r="AE105" s="834"/>
      <c r="AF105" s="834"/>
      <c r="AG105" s="834"/>
      <c r="AH105" s="834"/>
      <c r="AI105" s="834"/>
      <c r="AJ105" s="834"/>
      <c r="AK105" s="834"/>
      <c r="AL105" s="834"/>
      <c r="AM105" s="834"/>
      <c r="AN105" s="834"/>
      <c r="AO105" s="834"/>
      <c r="AP105" s="834"/>
      <c r="AQ105" s="834"/>
      <c r="AR105" s="834"/>
    </row>
    <row r="106" spans="1:44" ht="191.25" hidden="1" customHeight="1" thickBot="1" x14ac:dyDescent="0.35">
      <c r="A106" s="616">
        <v>14</v>
      </c>
      <c r="B106" s="832" t="s">
        <v>603</v>
      </c>
      <c r="C106" s="835" t="s">
        <v>1342</v>
      </c>
      <c r="D106" s="835" t="s">
        <v>1344</v>
      </c>
      <c r="E106" s="685" t="e">
        <f>HLOOKUP($D$2,'2020 Data(H)'!$C$1:$CR$393,11,FALSE)</f>
        <v>#N/A</v>
      </c>
      <c r="F106" s="295">
        <v>0</v>
      </c>
      <c r="G106" s="746"/>
      <c r="H106" s="17"/>
      <c r="I106" s="79"/>
      <c r="J106" s="591"/>
      <c r="L106" s="720"/>
      <c r="Z106" s="834"/>
      <c r="AA106" s="834"/>
      <c r="AB106" s="834"/>
      <c r="AC106" s="834"/>
      <c r="AD106" s="834"/>
      <c r="AE106" s="834"/>
      <c r="AF106" s="834"/>
      <c r="AG106" s="834"/>
      <c r="AH106" s="834"/>
      <c r="AI106" s="834"/>
      <c r="AJ106" s="834"/>
      <c r="AK106" s="834"/>
      <c r="AL106" s="834"/>
      <c r="AM106" s="834"/>
      <c r="AN106" s="834"/>
      <c r="AO106" s="834"/>
      <c r="AP106" s="834"/>
      <c r="AQ106" s="834"/>
      <c r="AR106" s="834"/>
    </row>
    <row r="107" spans="1:44" ht="129.75" hidden="1" customHeight="1" thickBot="1" x14ac:dyDescent="0.35">
      <c r="A107" s="616">
        <v>571</v>
      </c>
      <c r="B107" s="832" t="s">
        <v>603</v>
      </c>
      <c r="C107" s="836" t="s">
        <v>1380</v>
      </c>
      <c r="D107" s="836" t="s">
        <v>1381</v>
      </c>
      <c r="E107" s="685" t="e">
        <f>HLOOKUP($D$2,'2020 Data(H)'!$C$1:$CR$393,221,FALSE)</f>
        <v>#N/A</v>
      </c>
      <c r="F107" s="295">
        <v>0</v>
      </c>
      <c r="G107" s="746"/>
      <c r="H107" s="17"/>
      <c r="I107" s="79"/>
      <c r="J107" s="591"/>
      <c r="L107" s="720"/>
      <c r="Z107" s="834"/>
      <c r="AA107" s="834"/>
      <c r="AB107" s="834"/>
      <c r="AC107" s="834"/>
      <c r="AD107" s="834"/>
      <c r="AE107" s="834"/>
      <c r="AF107" s="834"/>
      <c r="AG107" s="834"/>
      <c r="AH107" s="834"/>
      <c r="AI107" s="834"/>
      <c r="AJ107" s="834"/>
      <c r="AK107" s="834"/>
      <c r="AL107" s="834"/>
      <c r="AM107" s="834"/>
      <c r="AN107" s="834"/>
      <c r="AO107" s="834"/>
      <c r="AP107" s="834"/>
      <c r="AQ107" s="834"/>
      <c r="AR107" s="834"/>
    </row>
    <row r="108" spans="1:44" ht="128.25" hidden="1" customHeight="1" thickBot="1" x14ac:dyDescent="0.35">
      <c r="A108" s="616">
        <v>572</v>
      </c>
      <c r="B108" s="832" t="s">
        <v>59</v>
      </c>
      <c r="C108" s="836" t="s">
        <v>1380</v>
      </c>
      <c r="D108" s="836" t="s">
        <v>1382</v>
      </c>
      <c r="E108" s="685" t="e">
        <f>HLOOKUP($D$2,'2020 Data(H)'!$C$1:$CR$393,222,FALSE)</f>
        <v>#N/A</v>
      </c>
      <c r="F108" s="295">
        <v>0</v>
      </c>
      <c r="G108" s="746"/>
      <c r="H108" s="17"/>
      <c r="I108" s="79"/>
      <c r="J108" s="591"/>
      <c r="L108" s="720"/>
      <c r="Z108" s="834"/>
      <c r="AA108" s="834"/>
      <c r="AB108" s="834"/>
      <c r="AC108" s="834"/>
      <c r="AD108" s="834"/>
      <c r="AE108" s="834"/>
      <c r="AF108" s="834"/>
      <c r="AG108" s="834"/>
      <c r="AH108" s="834"/>
      <c r="AI108" s="834"/>
      <c r="AJ108" s="834"/>
      <c r="AK108" s="834"/>
      <c r="AL108" s="834"/>
      <c r="AM108" s="834"/>
      <c r="AN108" s="834"/>
      <c r="AO108" s="834"/>
      <c r="AP108" s="834"/>
      <c r="AQ108" s="834"/>
      <c r="AR108" s="834"/>
    </row>
    <row r="109" spans="1:44" ht="120.75" hidden="1" customHeight="1" thickBot="1" x14ac:dyDescent="0.35">
      <c r="A109" s="616">
        <v>573</v>
      </c>
      <c r="B109" s="832" t="s">
        <v>603</v>
      </c>
      <c r="C109" s="836" t="s">
        <v>1380</v>
      </c>
      <c r="D109" s="836" t="s">
        <v>1540</v>
      </c>
      <c r="E109" s="685" t="e">
        <f>HLOOKUP($D$2,'2020 Data(H)'!$C$1:$CR$393,223,FALSE)</f>
        <v>#N/A</v>
      </c>
      <c r="F109" s="295">
        <v>0</v>
      </c>
      <c r="G109" s="746"/>
      <c r="H109" s="17"/>
      <c r="I109" s="79"/>
      <c r="J109" s="591"/>
      <c r="L109" s="720"/>
      <c r="Z109" s="834"/>
      <c r="AA109" s="834"/>
      <c r="AB109" s="834"/>
      <c r="AC109" s="834"/>
      <c r="AD109" s="834"/>
      <c r="AE109" s="834"/>
      <c r="AF109" s="834"/>
      <c r="AG109" s="834"/>
      <c r="AH109" s="834"/>
      <c r="AI109" s="834"/>
      <c r="AJ109" s="834"/>
      <c r="AK109" s="834"/>
      <c r="AL109" s="834"/>
      <c r="AM109" s="834"/>
      <c r="AN109" s="834"/>
      <c r="AO109" s="834"/>
      <c r="AP109" s="834"/>
      <c r="AQ109" s="834"/>
      <c r="AR109" s="834"/>
    </row>
    <row r="110" spans="1:44" ht="99.75" hidden="1" customHeight="1" thickBot="1" x14ac:dyDescent="0.35">
      <c r="A110" s="616">
        <v>34</v>
      </c>
      <c r="B110" s="832" t="s">
        <v>603</v>
      </c>
      <c r="C110" s="4" t="s">
        <v>1355</v>
      </c>
      <c r="D110" s="675" t="s">
        <v>1535</v>
      </c>
      <c r="E110" s="685" t="e">
        <f>HLOOKUP($D$2,'2020 Data(H)'!$C$1:$CR$393,22,FALSE)</f>
        <v>#N/A</v>
      </c>
      <c r="F110" s="295">
        <v>0</v>
      </c>
      <c r="G110" s="746"/>
      <c r="H110" s="17"/>
      <c r="I110" s="79"/>
      <c r="J110" s="591"/>
      <c r="L110" s="720"/>
      <c r="Z110" s="834"/>
      <c r="AA110" s="834"/>
      <c r="AB110" s="834"/>
      <c r="AC110" s="834"/>
      <c r="AD110" s="834"/>
      <c r="AE110" s="834"/>
      <c r="AF110" s="834"/>
      <c r="AG110" s="834"/>
      <c r="AH110" s="834"/>
      <c r="AI110" s="834"/>
      <c r="AJ110" s="834"/>
      <c r="AK110" s="834"/>
      <c r="AL110" s="834"/>
      <c r="AM110" s="834"/>
      <c r="AN110" s="834"/>
      <c r="AO110" s="834"/>
      <c r="AP110" s="834"/>
      <c r="AQ110" s="834"/>
      <c r="AR110" s="834"/>
    </row>
    <row r="111" spans="1:44" ht="117" hidden="1" customHeight="1" thickBot="1" x14ac:dyDescent="0.35">
      <c r="A111" s="616">
        <v>35</v>
      </c>
      <c r="B111" s="832" t="s">
        <v>603</v>
      </c>
      <c r="C111" s="4" t="s">
        <v>1355</v>
      </c>
      <c r="D111" s="675" t="s">
        <v>1547</v>
      </c>
      <c r="E111" s="685" t="e">
        <f>HLOOKUP($D$2,'2020 Data(H)'!$C$1:$CR$393,23,FALSE)</f>
        <v>#N/A</v>
      </c>
      <c r="F111" s="295">
        <v>0</v>
      </c>
      <c r="G111" s="746"/>
      <c r="H111" s="17"/>
      <c r="I111" s="79"/>
      <c r="J111" s="591"/>
      <c r="L111" s="720"/>
      <c r="Z111" s="834"/>
      <c r="AA111" s="834"/>
      <c r="AB111" s="834"/>
      <c r="AC111" s="834"/>
      <c r="AD111" s="834"/>
      <c r="AE111" s="834"/>
      <c r="AF111" s="834"/>
      <c r="AG111" s="834"/>
      <c r="AH111" s="834"/>
      <c r="AI111" s="834"/>
      <c r="AJ111" s="834"/>
      <c r="AK111" s="834"/>
      <c r="AL111" s="834"/>
      <c r="AM111" s="834"/>
      <c r="AN111" s="834"/>
      <c r="AO111" s="834"/>
      <c r="AP111" s="834"/>
      <c r="AQ111" s="834"/>
      <c r="AR111" s="834"/>
    </row>
    <row r="112" spans="1:44" ht="108.75" hidden="1" customHeight="1" thickBot="1" x14ac:dyDescent="0.35">
      <c r="A112" s="616">
        <v>37</v>
      </c>
      <c r="B112" s="832" t="s">
        <v>603</v>
      </c>
      <c r="C112" s="4" t="s">
        <v>1355</v>
      </c>
      <c r="D112" s="675" t="s">
        <v>1460</v>
      </c>
      <c r="E112" s="685" t="e">
        <f>HLOOKUP($D$2,'2020 Data(H)'!$C$1:$CR$393,25,FALSE)</f>
        <v>#N/A</v>
      </c>
      <c r="F112" s="295">
        <v>0</v>
      </c>
      <c r="G112" s="746"/>
      <c r="H112" s="17"/>
      <c r="I112" s="79"/>
      <c r="J112" s="591"/>
      <c r="L112" s="720"/>
      <c r="Z112" s="834"/>
      <c r="AA112" s="834"/>
      <c r="AB112" s="834"/>
      <c r="AC112" s="834"/>
      <c r="AD112" s="834"/>
      <c r="AE112" s="834"/>
      <c r="AF112" s="834"/>
      <c r="AG112" s="834"/>
      <c r="AH112" s="834"/>
      <c r="AI112" s="834"/>
      <c r="AJ112" s="834"/>
      <c r="AK112" s="834"/>
      <c r="AL112" s="834"/>
      <c r="AM112" s="834"/>
      <c r="AN112" s="834"/>
      <c r="AO112" s="834"/>
      <c r="AP112" s="834"/>
      <c r="AQ112" s="834"/>
      <c r="AR112" s="834"/>
    </row>
    <row r="113" spans="1:44" ht="102.75" hidden="1" customHeight="1" thickBot="1" x14ac:dyDescent="0.35">
      <c r="A113" s="616">
        <v>38</v>
      </c>
      <c r="B113" s="832" t="s">
        <v>603</v>
      </c>
      <c r="C113" s="4" t="s">
        <v>1355</v>
      </c>
      <c r="D113" s="675" t="s">
        <v>1358</v>
      </c>
      <c r="E113" s="685" t="e">
        <f>HLOOKUP($D$2,'2020 Data(H)'!$C$1:$CR$393,26,FALSE)</f>
        <v>#N/A</v>
      </c>
      <c r="F113" s="295">
        <v>0</v>
      </c>
      <c r="G113" s="746"/>
      <c r="H113" s="17"/>
      <c r="I113" s="79"/>
      <c r="J113" s="591"/>
      <c r="L113" s="720"/>
      <c r="Z113" s="834"/>
      <c r="AA113" s="834"/>
      <c r="AB113" s="834"/>
      <c r="AC113" s="834"/>
      <c r="AD113" s="834"/>
      <c r="AE113" s="834"/>
      <c r="AF113" s="834"/>
      <c r="AG113" s="834"/>
      <c r="AH113" s="834"/>
      <c r="AI113" s="834"/>
      <c r="AJ113" s="834"/>
      <c r="AK113" s="834"/>
      <c r="AL113" s="834"/>
      <c r="AM113" s="834"/>
      <c r="AN113" s="834"/>
      <c r="AO113" s="834"/>
      <c r="AP113" s="834"/>
      <c r="AQ113" s="834"/>
      <c r="AR113" s="834"/>
    </row>
    <row r="114" spans="1:44" ht="117.75" hidden="1" customHeight="1" thickBot="1" x14ac:dyDescent="0.35">
      <c r="A114" s="616">
        <v>32</v>
      </c>
      <c r="B114" s="832" t="s">
        <v>716</v>
      </c>
      <c r="C114" s="835" t="s">
        <v>1345</v>
      </c>
      <c r="D114" s="835" t="s">
        <v>1346</v>
      </c>
      <c r="E114" s="685" t="e">
        <f>HLOOKUP($D$2,'2020 Data(H)'!$C$1:$CR$393,20,FALSE)</f>
        <v>#N/A</v>
      </c>
      <c r="F114" s="295">
        <v>0</v>
      </c>
      <c r="G114" s="746"/>
      <c r="H114" s="17"/>
      <c r="I114" s="79"/>
      <c r="J114" s="591"/>
      <c r="L114" s="720"/>
      <c r="Z114" s="834"/>
      <c r="AA114" s="834"/>
      <c r="AB114" s="834"/>
      <c r="AC114" s="834"/>
      <c r="AD114" s="834"/>
      <c r="AE114" s="834"/>
      <c r="AF114" s="834"/>
      <c r="AG114" s="834"/>
      <c r="AH114" s="834"/>
      <c r="AI114" s="834"/>
      <c r="AJ114" s="834"/>
      <c r="AK114" s="834"/>
      <c r="AL114" s="834"/>
      <c r="AM114" s="834"/>
      <c r="AN114" s="834"/>
      <c r="AO114" s="834"/>
      <c r="AP114" s="834"/>
      <c r="AQ114" s="834"/>
      <c r="AR114" s="834"/>
    </row>
    <row r="115" spans="1:44" ht="116.25" hidden="1" customHeight="1" thickBot="1" x14ac:dyDescent="0.35">
      <c r="A115" s="616">
        <v>40</v>
      </c>
      <c r="B115" s="832" t="s">
        <v>603</v>
      </c>
      <c r="C115" s="835" t="s">
        <v>1359</v>
      </c>
      <c r="D115" s="675" t="s">
        <v>1360</v>
      </c>
      <c r="E115" s="685" t="e">
        <f>HLOOKUP($D$2,'2020 Data(H)'!$C$1:$CR$393,28,FALSE)</f>
        <v>#N/A</v>
      </c>
      <c r="F115" s="295">
        <v>0</v>
      </c>
      <c r="G115" s="746"/>
      <c r="H115" s="17"/>
      <c r="I115" s="79"/>
      <c r="J115" s="591"/>
      <c r="L115" s="720"/>
      <c r="Z115" s="834"/>
      <c r="AA115" s="834"/>
      <c r="AB115" s="834"/>
      <c r="AC115" s="834"/>
      <c r="AD115" s="834"/>
      <c r="AE115" s="834"/>
      <c r="AF115" s="834"/>
      <c r="AG115" s="834"/>
      <c r="AH115" s="834"/>
      <c r="AI115" s="834"/>
      <c r="AJ115" s="834"/>
      <c r="AK115" s="834"/>
      <c r="AL115" s="834"/>
      <c r="AM115" s="834"/>
      <c r="AN115" s="834"/>
      <c r="AO115" s="834"/>
      <c r="AP115" s="834"/>
      <c r="AQ115" s="834"/>
      <c r="AR115" s="834"/>
    </row>
    <row r="116" spans="1:44" ht="104.25" hidden="1" customHeight="1" thickBot="1" x14ac:dyDescent="0.35">
      <c r="A116" s="616">
        <v>107</v>
      </c>
      <c r="B116" s="832" t="s">
        <v>603</v>
      </c>
      <c r="C116" s="835" t="s">
        <v>1359</v>
      </c>
      <c r="D116" s="675" t="s">
        <v>1361</v>
      </c>
      <c r="E116" s="685" t="e">
        <f>HLOOKUP($D$2,'2020 Data(H)'!$C$1:$CR$393,65,FALSE)</f>
        <v>#N/A</v>
      </c>
      <c r="F116" s="295">
        <v>0</v>
      </c>
      <c r="G116" s="746"/>
      <c r="H116" s="17"/>
      <c r="I116" s="79"/>
      <c r="J116" s="591"/>
      <c r="L116" s="720"/>
      <c r="Z116" s="834"/>
      <c r="AA116" s="834"/>
      <c r="AB116" s="834"/>
      <c r="AC116" s="834"/>
      <c r="AD116" s="834"/>
      <c r="AE116" s="834"/>
      <c r="AF116" s="834"/>
      <c r="AG116" s="834"/>
      <c r="AH116" s="834"/>
      <c r="AI116" s="834"/>
      <c r="AJ116" s="834"/>
      <c r="AK116" s="834"/>
      <c r="AL116" s="834"/>
      <c r="AM116" s="834"/>
      <c r="AN116" s="834"/>
      <c r="AO116" s="834"/>
      <c r="AP116" s="834"/>
      <c r="AQ116" s="834"/>
      <c r="AR116" s="834"/>
    </row>
    <row r="117" spans="1:44" ht="107.25" hidden="1" customHeight="1" thickBot="1" x14ac:dyDescent="0.35">
      <c r="A117" s="616">
        <v>108</v>
      </c>
      <c r="B117" s="832" t="s">
        <v>603</v>
      </c>
      <c r="C117" s="835" t="s">
        <v>1359</v>
      </c>
      <c r="D117" s="675" t="s">
        <v>1461</v>
      </c>
      <c r="E117" s="685" t="e">
        <f>HLOOKUP($D$2,'2020 Data(H)'!$C$1:$CR$393,66,FALSE)</f>
        <v>#N/A</v>
      </c>
      <c r="F117" s="295">
        <v>0</v>
      </c>
      <c r="G117" s="746"/>
      <c r="H117" s="17"/>
      <c r="I117" s="79"/>
      <c r="J117" s="591"/>
      <c r="L117" s="720"/>
      <c r="Z117" s="834"/>
      <c r="AA117" s="834"/>
      <c r="AB117" s="834"/>
      <c r="AC117" s="834"/>
      <c r="AD117" s="834"/>
      <c r="AE117" s="834"/>
      <c r="AF117" s="834"/>
      <c r="AG117" s="834"/>
      <c r="AH117" s="834"/>
      <c r="AI117" s="834"/>
      <c r="AJ117" s="834"/>
      <c r="AK117" s="834"/>
      <c r="AL117" s="834"/>
      <c r="AM117" s="834"/>
      <c r="AN117" s="834"/>
      <c r="AO117" s="834"/>
      <c r="AP117" s="834"/>
      <c r="AQ117" s="834"/>
      <c r="AR117" s="834"/>
    </row>
    <row r="118" spans="1:44" ht="93" hidden="1" customHeight="1" thickBot="1" x14ac:dyDescent="0.35">
      <c r="A118" s="616">
        <v>41</v>
      </c>
      <c r="B118" s="832" t="s">
        <v>603</v>
      </c>
      <c r="C118" s="835" t="s">
        <v>1359</v>
      </c>
      <c r="D118" s="675" t="s">
        <v>1462</v>
      </c>
      <c r="E118" s="685" t="e">
        <f>HLOOKUP($D$2,'2020 Data(H)'!$C$1:$CR$393,29,FALSE)</f>
        <v>#N/A</v>
      </c>
      <c r="F118" s="295">
        <v>0</v>
      </c>
      <c r="G118" s="746"/>
      <c r="H118" s="17"/>
      <c r="I118" s="79"/>
      <c r="J118" s="591"/>
      <c r="L118" s="720"/>
      <c r="Z118" s="834"/>
      <c r="AA118" s="834"/>
      <c r="AB118" s="834"/>
      <c r="AC118" s="834"/>
      <c r="AD118" s="834"/>
      <c r="AE118" s="834"/>
      <c r="AF118" s="834"/>
      <c r="AG118" s="834"/>
      <c r="AH118" s="834"/>
      <c r="AI118" s="834"/>
      <c r="AJ118" s="834"/>
      <c r="AK118" s="834"/>
      <c r="AL118" s="834"/>
      <c r="AM118" s="834"/>
      <c r="AN118" s="834"/>
      <c r="AO118" s="834"/>
      <c r="AP118" s="834"/>
      <c r="AQ118" s="834"/>
      <c r="AR118" s="834"/>
    </row>
    <row r="119" spans="1:44" ht="120.75" hidden="1" customHeight="1" thickBot="1" x14ac:dyDescent="0.35">
      <c r="A119" s="616">
        <v>194</v>
      </c>
      <c r="B119" s="832" t="s">
        <v>603</v>
      </c>
      <c r="C119" s="835" t="s">
        <v>1359</v>
      </c>
      <c r="D119" s="675" t="s">
        <v>1362</v>
      </c>
      <c r="E119" s="685" t="e">
        <f>HLOOKUP($D$2,'2020 Data(H)'!$C$1:$CR$393,75,FALSE)</f>
        <v>#N/A</v>
      </c>
      <c r="F119" s="295">
        <v>0</v>
      </c>
      <c r="G119" s="746"/>
      <c r="H119" s="17"/>
      <c r="I119" s="79"/>
      <c r="J119" s="591"/>
      <c r="L119" s="720"/>
      <c r="Z119" s="834"/>
      <c r="AA119" s="834"/>
      <c r="AB119" s="834"/>
      <c r="AC119" s="834"/>
      <c r="AD119" s="834"/>
      <c r="AE119" s="834"/>
      <c r="AF119" s="834"/>
      <c r="AG119" s="834"/>
      <c r="AH119" s="834"/>
      <c r="AI119" s="834"/>
      <c r="AJ119" s="834"/>
      <c r="AK119" s="834"/>
      <c r="AL119" s="834"/>
      <c r="AM119" s="834"/>
      <c r="AN119" s="834"/>
      <c r="AO119" s="834"/>
      <c r="AP119" s="834"/>
      <c r="AQ119" s="834"/>
      <c r="AR119" s="834"/>
    </row>
    <row r="120" spans="1:44" ht="123.75" hidden="1" customHeight="1" thickBot="1" x14ac:dyDescent="0.35">
      <c r="A120" s="616">
        <v>294</v>
      </c>
      <c r="B120" s="832" t="s">
        <v>603</v>
      </c>
      <c r="C120" s="835" t="s">
        <v>1359</v>
      </c>
      <c r="D120" s="675" t="s">
        <v>1363</v>
      </c>
      <c r="E120" s="685" t="e">
        <f>HLOOKUP($D$2,'2020 Data(H)'!$C$1:$CR$393,83,FALSE)</f>
        <v>#N/A</v>
      </c>
      <c r="F120" s="295">
        <v>0</v>
      </c>
      <c r="G120" s="746"/>
      <c r="H120" s="17"/>
      <c r="I120" s="79"/>
      <c r="J120" s="591"/>
      <c r="L120" s="720"/>
      <c r="Z120" s="834"/>
      <c r="AA120" s="834"/>
      <c r="AB120" s="834"/>
      <c r="AC120" s="834"/>
      <c r="AD120" s="834"/>
      <c r="AE120" s="834"/>
      <c r="AF120" s="834"/>
      <c r="AG120" s="834"/>
      <c r="AH120" s="834"/>
      <c r="AI120" s="834"/>
      <c r="AJ120" s="834"/>
      <c r="AK120" s="834"/>
      <c r="AL120" s="834"/>
      <c r="AM120" s="834"/>
      <c r="AN120" s="834"/>
      <c r="AO120" s="834"/>
      <c r="AP120" s="834"/>
      <c r="AQ120" s="834"/>
      <c r="AR120" s="834"/>
    </row>
    <row r="121" spans="1:44" hidden="1" x14ac:dyDescent="0.3">
      <c r="A121" s="815"/>
      <c r="E121" s="685"/>
      <c r="Z121" s="18"/>
    </row>
    <row r="122" spans="1:44" hidden="1" x14ac:dyDescent="0.3">
      <c r="A122" s="815"/>
      <c r="E122" s="685"/>
      <c r="Z122" s="18"/>
    </row>
    <row r="123" spans="1:44" ht="129.75" hidden="1" customHeight="1" thickBot="1" x14ac:dyDescent="0.35">
      <c r="A123" s="616">
        <v>31</v>
      </c>
      <c r="B123" s="832" t="s">
        <v>716</v>
      </c>
      <c r="C123" s="835" t="s">
        <v>1345</v>
      </c>
      <c r="D123" s="835" t="s">
        <v>1347</v>
      </c>
      <c r="E123" s="685" t="e">
        <f>HLOOKUP($D$2,'2020 Data(H)'!$C$1:$CR$393,19,FALSE)</f>
        <v>#N/A</v>
      </c>
      <c r="F123" s="295">
        <v>0</v>
      </c>
      <c r="G123" s="746"/>
      <c r="H123" s="17"/>
      <c r="I123" s="79"/>
      <c r="J123" s="591"/>
      <c r="L123" s="720"/>
      <c r="Z123" s="834"/>
      <c r="AA123" s="834"/>
      <c r="AB123" s="834"/>
      <c r="AC123" s="834"/>
      <c r="AD123" s="834"/>
      <c r="AE123" s="834"/>
      <c r="AF123" s="834"/>
      <c r="AG123" s="834"/>
      <c r="AH123" s="834"/>
      <c r="AI123" s="834"/>
      <c r="AJ123" s="834"/>
      <c r="AK123" s="834"/>
      <c r="AL123" s="834"/>
      <c r="AM123" s="834"/>
      <c r="AN123" s="834"/>
      <c r="AO123" s="834"/>
      <c r="AP123" s="834"/>
      <c r="AQ123" s="834"/>
      <c r="AR123" s="834"/>
    </row>
    <row r="124" spans="1:44" ht="94.5" hidden="1" customHeight="1" thickBot="1" x14ac:dyDescent="0.35">
      <c r="A124" s="1104">
        <v>193</v>
      </c>
      <c r="B124" s="832" t="s">
        <v>716</v>
      </c>
      <c r="C124" s="835" t="s">
        <v>1348</v>
      </c>
      <c r="D124" s="835" t="s">
        <v>382</v>
      </c>
      <c r="E124" s="685" t="e">
        <f>HLOOKUP($D$2,'2020 Data(H)'!$C$1:$CR$393,74,FALSE)</f>
        <v>#N/A</v>
      </c>
      <c r="F124" s="295">
        <v>0</v>
      </c>
      <c r="G124" s="746"/>
      <c r="H124" s="17"/>
      <c r="I124" s="79"/>
      <c r="J124" s="591"/>
      <c r="L124" s="720"/>
      <c r="Z124" s="834"/>
      <c r="AA124" s="834"/>
      <c r="AB124" s="834"/>
      <c r="AC124" s="834"/>
      <c r="AD124" s="834"/>
      <c r="AE124" s="834"/>
      <c r="AF124" s="834"/>
      <c r="AG124" s="834"/>
      <c r="AH124" s="834"/>
      <c r="AI124" s="834"/>
      <c r="AJ124" s="834"/>
      <c r="AK124" s="834"/>
      <c r="AL124" s="834"/>
      <c r="AM124" s="834"/>
      <c r="AN124" s="834"/>
      <c r="AO124" s="834"/>
      <c r="AP124" s="834"/>
      <c r="AQ124" s="834"/>
      <c r="AR124" s="834"/>
    </row>
    <row r="125" spans="1:44" ht="78" hidden="1" customHeight="1" thickBot="1" x14ac:dyDescent="0.35">
      <c r="A125" s="1104">
        <v>33</v>
      </c>
      <c r="B125" s="832" t="s">
        <v>716</v>
      </c>
      <c r="C125" s="835" t="s">
        <v>1348</v>
      </c>
      <c r="D125" s="835" t="s">
        <v>317</v>
      </c>
      <c r="E125" s="685" t="e">
        <f>HLOOKUP($D$2,'2020 Data(H)'!$C$1:$CR$393,21,FALSE)</f>
        <v>#N/A</v>
      </c>
      <c r="F125" s="295">
        <v>0</v>
      </c>
      <c r="G125" s="746"/>
      <c r="H125" s="17"/>
      <c r="I125" s="79"/>
      <c r="J125" s="591"/>
      <c r="L125" s="720"/>
      <c r="Z125" s="834"/>
      <c r="AA125" s="834"/>
      <c r="AB125" s="834"/>
      <c r="AC125" s="834"/>
      <c r="AD125" s="834"/>
      <c r="AE125" s="834"/>
      <c r="AF125" s="834"/>
      <c r="AG125" s="834"/>
      <c r="AH125" s="834"/>
      <c r="AI125" s="834"/>
      <c r="AJ125" s="834"/>
      <c r="AK125" s="834"/>
      <c r="AL125" s="834"/>
      <c r="AM125" s="834"/>
      <c r="AN125" s="834"/>
      <c r="AO125" s="834"/>
      <c r="AP125" s="834"/>
      <c r="AQ125" s="834"/>
      <c r="AR125" s="834"/>
    </row>
    <row r="126" spans="1:44" ht="55.5" hidden="1" customHeight="1" thickBot="1" x14ac:dyDescent="0.35">
      <c r="A126" s="616">
        <v>104</v>
      </c>
      <c r="B126" s="832" t="s">
        <v>716</v>
      </c>
      <c r="C126" s="4" t="s">
        <v>1364</v>
      </c>
      <c r="D126" s="675" t="s">
        <v>1365</v>
      </c>
      <c r="E126" s="685" t="e">
        <f>HLOOKUP($D$2,'2020 Data(H)'!$C$1:$CR$393,64,FALSE)</f>
        <v>#N/A</v>
      </c>
      <c r="F126" s="295">
        <v>0</v>
      </c>
      <c r="G126" s="746"/>
      <c r="H126" s="17"/>
      <c r="I126" s="79"/>
      <c r="J126" s="591"/>
      <c r="L126" s="720"/>
      <c r="Z126" s="834"/>
      <c r="AA126" s="834"/>
      <c r="AB126" s="834"/>
      <c r="AC126" s="834"/>
      <c r="AD126" s="834"/>
      <c r="AE126" s="834"/>
      <c r="AF126" s="834"/>
      <c r="AG126" s="834"/>
      <c r="AH126" s="834"/>
      <c r="AI126" s="834"/>
      <c r="AJ126" s="834"/>
      <c r="AK126" s="834"/>
      <c r="AL126" s="834"/>
      <c r="AM126" s="834"/>
      <c r="AN126" s="834"/>
      <c r="AO126" s="834"/>
      <c r="AP126" s="834"/>
      <c r="AQ126" s="834"/>
      <c r="AR126" s="834"/>
    </row>
    <row r="127" spans="1:44" ht="70.5" hidden="1" customHeight="1" thickBot="1" x14ac:dyDescent="0.35">
      <c r="A127" s="616">
        <v>39</v>
      </c>
      <c r="B127" s="832" t="s">
        <v>716</v>
      </c>
      <c r="C127" s="4" t="s">
        <v>1364</v>
      </c>
      <c r="D127" s="24" t="s">
        <v>1366</v>
      </c>
      <c r="E127" s="685" t="e">
        <f>HLOOKUP($D$2,'2020 Data(H)'!$C$1:$CR$393,27,FALSE)</f>
        <v>#N/A</v>
      </c>
      <c r="F127" s="295">
        <v>0</v>
      </c>
      <c r="G127" s="746"/>
      <c r="H127" s="17"/>
      <c r="I127" s="79"/>
      <c r="J127" s="591"/>
      <c r="L127" s="720"/>
      <c r="Z127" s="834"/>
      <c r="AA127" s="834"/>
      <c r="AB127" s="834"/>
      <c r="AC127" s="834"/>
      <c r="AD127" s="834"/>
      <c r="AE127" s="834"/>
      <c r="AF127" s="834"/>
      <c r="AG127" s="834"/>
      <c r="AH127" s="834"/>
      <c r="AI127" s="834"/>
      <c r="AJ127" s="834"/>
      <c r="AK127" s="834"/>
      <c r="AL127" s="834"/>
      <c r="AM127" s="834"/>
      <c r="AN127" s="834"/>
      <c r="AO127" s="834"/>
      <c r="AP127" s="834"/>
      <c r="AQ127" s="834"/>
      <c r="AR127" s="834"/>
    </row>
    <row r="128" spans="1:44" ht="15" thickBot="1" x14ac:dyDescent="0.35">
      <c r="A128" s="108"/>
      <c r="B128" s="872" t="s">
        <v>1463</v>
      </c>
      <c r="C128" s="872"/>
      <c r="D128" s="856"/>
      <c r="E128" s="856"/>
      <c r="F128" s="876"/>
      <c r="G128" s="877"/>
      <c r="H128" s="17"/>
      <c r="I128" s="79"/>
      <c r="L128" s="720"/>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thickBot="1" x14ac:dyDescent="0.35">
      <c r="A129" s="108"/>
      <c r="B129" s="872" t="s">
        <v>24</v>
      </c>
      <c r="C129" s="872"/>
      <c r="D129" s="872"/>
      <c r="E129" s="854"/>
      <c r="F129" s="878"/>
      <c r="G129" s="879"/>
      <c r="H129" s="17"/>
      <c r="I129" s="79"/>
      <c r="L129" s="720"/>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thickBot="1" x14ac:dyDescent="0.35">
      <c r="A130" s="108"/>
      <c r="B130" s="872" t="s">
        <v>22</v>
      </c>
      <c r="C130" s="872"/>
      <c r="D130" s="872"/>
      <c r="E130" s="854"/>
      <c r="F130" s="878"/>
      <c r="G130" s="879"/>
      <c r="H130" s="760"/>
      <c r="I130" s="79"/>
      <c r="L130" s="720"/>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customHeight="1" thickBot="1" x14ac:dyDescent="0.35">
      <c r="A131" s="108">
        <v>596</v>
      </c>
      <c r="B131" s="687" t="s">
        <v>57</v>
      </c>
      <c r="C131" s="837"/>
      <c r="D131" s="684" t="s">
        <v>612</v>
      </c>
      <c r="E131" s="685" t="e">
        <f>HLOOKUP($D$2,'2020 Data(H)'!$C$1:$CR$393,255,FALSE)</f>
        <v>#N/A</v>
      </c>
      <c r="F131" s="295"/>
      <c r="G131" s="761"/>
      <c r="H131" s="760"/>
      <c r="I131" s="79"/>
      <c r="L131" s="720"/>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customHeight="1" thickBot="1" x14ac:dyDescent="0.35">
      <c r="A132" s="108">
        <v>80</v>
      </c>
      <c r="B132" s="4" t="s">
        <v>62</v>
      </c>
      <c r="C132" s="4" t="s">
        <v>1464</v>
      </c>
      <c r="D132" s="24" t="s">
        <v>1465</v>
      </c>
      <c r="E132" s="685" t="e">
        <f>HLOOKUP($D$2,'2020 Data(H)'!$C$1:$CR$393,44,FALSE)</f>
        <v>#N/A</v>
      </c>
      <c r="F132" s="274">
        <v>0</v>
      </c>
      <c r="G132" s="685" t="e">
        <f>HLOOKUP($D$2,'2020 Data(H)'!C1:BS295,249,FALSE)</f>
        <v>#N/A</v>
      </c>
      <c r="H132" s="762"/>
      <c r="I132" s="79"/>
      <c r="L132" s="720"/>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customHeight="1" thickBot="1" x14ac:dyDescent="0.35">
      <c r="A133" s="108">
        <v>81</v>
      </c>
      <c r="B133" s="4" t="s">
        <v>62</v>
      </c>
      <c r="C133" s="4" t="s">
        <v>1464</v>
      </c>
      <c r="D133" s="24" t="s">
        <v>1466</v>
      </c>
      <c r="E133" s="685" t="e">
        <f>HLOOKUP($D$2,'2020 Data(H)'!$C$1:$CR$393,45,FALSE)</f>
        <v>#N/A</v>
      </c>
      <c r="F133" s="295">
        <v>0</v>
      </c>
      <c r="G133" s="756"/>
      <c r="H133" s="17"/>
      <c r="I133" s="79"/>
      <c r="L133" s="720"/>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customHeight="1" thickBot="1" x14ac:dyDescent="0.35">
      <c r="A134" s="108">
        <v>579</v>
      </c>
      <c r="B134" s="838" t="s">
        <v>558</v>
      </c>
      <c r="C134" s="687" t="s">
        <v>1464</v>
      </c>
      <c r="D134" s="839" t="s">
        <v>1467</v>
      </c>
      <c r="E134" s="685" t="e">
        <f>HLOOKUP($D$2,'2020 Data(H)'!$C$1:$CR$393,229,FALSE)</f>
        <v>#N/A</v>
      </c>
      <c r="F134" s="295">
        <v>0</v>
      </c>
      <c r="G134" s="746"/>
      <c r="H134" s="17"/>
      <c r="I134" s="747"/>
      <c r="L134" s="720"/>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customHeight="1" x14ac:dyDescent="0.3">
      <c r="A135" s="108">
        <v>510</v>
      </c>
      <c r="B135" s="4" t="s">
        <v>37</v>
      </c>
      <c r="C135" s="4" t="s">
        <v>1464</v>
      </c>
      <c r="D135" s="29" t="s">
        <v>530</v>
      </c>
      <c r="E135" s="685" t="e">
        <f>HLOOKUP($D$2,'2020 Data(H)'!$C$1:$CR$393,160,FALSE)</f>
        <v>#N/A</v>
      </c>
      <c r="F135" s="295">
        <v>0</v>
      </c>
      <c r="G135" s="756"/>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customHeight="1" x14ac:dyDescent="0.3">
      <c r="A136" s="309">
        <v>654</v>
      </c>
      <c r="B136" s="840" t="s">
        <v>37</v>
      </c>
      <c r="C136" s="840" t="s">
        <v>1464</v>
      </c>
      <c r="D136" s="341" t="s">
        <v>1468</v>
      </c>
      <c r="E136" s="685" t="e">
        <f>HLOOKUP($D$2,'2020 Data(H)'!$C$1:$CR$393,307,FALSE)</f>
        <v>#N/A</v>
      </c>
      <c r="F136" s="295">
        <v>0</v>
      </c>
      <c r="G136" s="746">
        <f>IF((F132+F133+F135)&gt;F136,"Error: Please review components of current assets above.  Account numbers (80+81+510)&gt;654",)</f>
        <v>0</v>
      </c>
      <c r="H136" s="17"/>
      <c r="I136" s="79"/>
      <c r="Z136" s="309"/>
      <c r="AA136" s="309"/>
      <c r="AB136" s="309"/>
      <c r="AC136" s="309"/>
      <c r="AD136" s="309"/>
      <c r="AE136" s="309"/>
      <c r="AF136" s="309"/>
      <c r="AG136" s="309"/>
      <c r="AH136" s="309"/>
      <c r="AI136" s="309"/>
      <c r="AJ136" s="309"/>
      <c r="AK136" s="309"/>
      <c r="AL136" s="309"/>
      <c r="AM136" s="309"/>
      <c r="AN136" s="309"/>
      <c r="AO136" s="309"/>
      <c r="AP136" s="309"/>
      <c r="AQ136" s="309"/>
      <c r="AR136" s="309"/>
    </row>
    <row r="137" spans="1:44" ht="75.75" customHeight="1" x14ac:dyDescent="0.3">
      <c r="A137" s="309">
        <v>655</v>
      </c>
      <c r="B137" s="840" t="s">
        <v>37</v>
      </c>
      <c r="C137" s="840" t="s">
        <v>1464</v>
      </c>
      <c r="D137" s="311" t="s">
        <v>845</v>
      </c>
      <c r="E137" s="685" t="e">
        <f>HLOOKUP($D$2,'2020 Data(H)'!$C$1:$CR$393,308,FALSE)</f>
        <v>#N/A</v>
      </c>
      <c r="F137" s="295">
        <v>0</v>
      </c>
      <c r="G137" s="746"/>
      <c r="H137" s="17"/>
      <c r="I137" s="79"/>
      <c r="Z137" s="309"/>
      <c r="AA137" s="309"/>
      <c r="AB137" s="309"/>
      <c r="AC137" s="309"/>
      <c r="AD137" s="309"/>
      <c r="AE137" s="309"/>
      <c r="AF137" s="309"/>
      <c r="AG137" s="309"/>
      <c r="AH137" s="309"/>
      <c r="AI137" s="309"/>
      <c r="AJ137" s="309"/>
      <c r="AK137" s="309"/>
      <c r="AL137" s="309"/>
      <c r="AM137" s="309"/>
      <c r="AN137" s="309"/>
      <c r="AO137" s="309"/>
      <c r="AP137" s="309"/>
      <c r="AQ137" s="309"/>
      <c r="AR137" s="309"/>
    </row>
    <row r="138" spans="1:44" ht="48" customHeight="1" x14ac:dyDescent="0.3">
      <c r="A138" s="108">
        <v>381</v>
      </c>
      <c r="B138" s="4" t="s">
        <v>37</v>
      </c>
      <c r="C138" s="4" t="s">
        <v>1464</v>
      </c>
      <c r="D138" s="106" t="s">
        <v>130</v>
      </c>
      <c r="E138" s="685" t="e">
        <f>HLOOKUP($D$2,'2020 Data(H)'!$C$1:$CR$393,140,FALSE)</f>
        <v>#N/A</v>
      </c>
      <c r="F138" s="295">
        <v>0</v>
      </c>
      <c r="G138" s="746">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customHeight="1" x14ac:dyDescent="0.3">
      <c r="A139" s="108">
        <v>578</v>
      </c>
      <c r="B139" s="687" t="s">
        <v>59</v>
      </c>
      <c r="C139" s="687" t="s">
        <v>1464</v>
      </c>
      <c r="D139" s="839" t="s">
        <v>1469</v>
      </c>
      <c r="E139" s="685" t="e">
        <f>HLOOKUP($D$2,'2020 Data(H)'!$C$1:$CR$393,228,FALSE)</f>
        <v>#N/A</v>
      </c>
      <c r="F139" s="295">
        <v>0</v>
      </c>
      <c r="G139" s="746"/>
      <c r="H139" s="747"/>
      <c r="I139" s="748"/>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customHeight="1" x14ac:dyDescent="0.3">
      <c r="A140" s="310">
        <v>633</v>
      </c>
      <c r="B140" s="840" t="s">
        <v>844</v>
      </c>
      <c r="C140" s="840" t="s">
        <v>720</v>
      </c>
      <c r="D140" s="341" t="s">
        <v>1548</v>
      </c>
      <c r="E140" s="685" t="e">
        <f>HLOOKUP($D$2,'2020 Data(H)'!$C$1:$CR$393,292,FALSE)</f>
        <v>#N/A</v>
      </c>
      <c r="F140" s="295">
        <v>0</v>
      </c>
      <c r="G140" s="763" t="str">
        <f>IF(F140&gt;=(F141+F142+F143+F144+F145+F146),"","Account 633 is less than the total sum of accounts 634 through 638 + 383")</f>
        <v/>
      </c>
      <c r="H140" s="769">
        <f>F140-(F141+F142+F143+F144+F145+F146)</f>
        <v>0</v>
      </c>
      <c r="I140" s="751" t="str">
        <f>IF(F140&gt;=(F141+F142+F143+F144+F145+F146),"","Account 633 is less than the total sum of accounts 634 through 638 + 383")</f>
        <v/>
      </c>
      <c r="Z140" s="310"/>
      <c r="AA140" s="310"/>
      <c r="AB140" s="310"/>
      <c r="AC140" s="310"/>
      <c r="AD140" s="310"/>
      <c r="AE140" s="310"/>
      <c r="AF140" s="310"/>
      <c r="AG140" s="310"/>
      <c r="AH140" s="310"/>
      <c r="AI140" s="310"/>
      <c r="AJ140" s="310"/>
      <c r="AK140" s="310"/>
      <c r="AL140" s="310"/>
      <c r="AM140" s="310"/>
      <c r="AN140" s="310"/>
      <c r="AO140" s="310"/>
      <c r="AP140" s="310"/>
      <c r="AQ140" s="310"/>
      <c r="AR140" s="310"/>
    </row>
    <row r="141" spans="1:44" ht="109.5" customHeight="1" x14ac:dyDescent="0.3">
      <c r="A141" s="309">
        <v>634</v>
      </c>
      <c r="B141" s="841" t="s">
        <v>716</v>
      </c>
      <c r="C141" s="840" t="s">
        <v>720</v>
      </c>
      <c r="D141" s="341" t="s">
        <v>1550</v>
      </c>
      <c r="E141" s="685" t="e">
        <f>HLOOKUP($D$2,'2020 Data(H)'!$C$1:$CR$393,293,FALSE)</f>
        <v>#N/A</v>
      </c>
      <c r="F141" s="295">
        <v>0</v>
      </c>
      <c r="G141" s="764">
        <f>IF(F141&gt;F140,"Please review account numbers 634&gt;633",)</f>
        <v>0</v>
      </c>
      <c r="H141" s="751"/>
      <c r="I141" s="751"/>
      <c r="Z141" s="309"/>
      <c r="AA141" s="309"/>
      <c r="AB141" s="309"/>
      <c r="AC141" s="309"/>
      <c r="AD141" s="309"/>
      <c r="AE141" s="309"/>
      <c r="AF141" s="309"/>
      <c r="AG141" s="309"/>
      <c r="AH141" s="309"/>
      <c r="AI141" s="309"/>
      <c r="AJ141" s="309"/>
      <c r="AK141" s="309"/>
      <c r="AL141" s="309"/>
      <c r="AM141" s="309"/>
      <c r="AN141" s="309"/>
      <c r="AO141" s="309"/>
      <c r="AP141" s="309"/>
      <c r="AQ141" s="309"/>
      <c r="AR141" s="309"/>
    </row>
    <row r="142" spans="1:44" ht="130.5" customHeight="1" x14ac:dyDescent="0.3">
      <c r="A142" s="309">
        <v>635</v>
      </c>
      <c r="B142" s="841" t="s">
        <v>716</v>
      </c>
      <c r="C142" s="840" t="s">
        <v>720</v>
      </c>
      <c r="D142" s="341" t="s">
        <v>1549</v>
      </c>
      <c r="E142" s="685" t="e">
        <f>HLOOKUP($D$2,'2020 Data(H)'!$C$1:$CR$393,294,FALSE)</f>
        <v>#N/A</v>
      </c>
      <c r="F142" s="295">
        <v>0</v>
      </c>
      <c r="G142" s="764">
        <f>IF(F142&gt;F140,"Please review account numbers 635&gt;633",)</f>
        <v>0</v>
      </c>
      <c r="H142" s="751"/>
      <c r="I142" s="751"/>
      <c r="Z142" s="309"/>
      <c r="AA142" s="309"/>
      <c r="AB142" s="309"/>
      <c r="AC142" s="309"/>
      <c r="AD142" s="309"/>
      <c r="AE142" s="309"/>
      <c r="AF142" s="309"/>
      <c r="AG142" s="309"/>
      <c r="AH142" s="309"/>
      <c r="AI142" s="309"/>
      <c r="AJ142" s="309"/>
      <c r="AK142" s="309"/>
      <c r="AL142" s="309"/>
      <c r="AM142" s="309"/>
      <c r="AN142" s="309"/>
      <c r="AO142" s="309"/>
      <c r="AP142" s="309"/>
      <c r="AQ142" s="309"/>
      <c r="AR142" s="309"/>
    </row>
    <row r="143" spans="1:44" ht="106.5" customHeight="1" x14ac:dyDescent="0.3">
      <c r="A143" s="309">
        <v>636</v>
      </c>
      <c r="B143" s="841" t="s">
        <v>716</v>
      </c>
      <c r="C143" s="840" t="s">
        <v>720</v>
      </c>
      <c r="D143" s="341" t="s">
        <v>1554</v>
      </c>
      <c r="E143" s="685" t="e">
        <f>HLOOKUP($D$2,'2020 Data(H)'!$C$1:$CR$393,295,FALSE)</f>
        <v>#N/A</v>
      </c>
      <c r="F143" s="295">
        <v>0</v>
      </c>
      <c r="G143" s="764">
        <f>IF(F143&gt;F140,"Please review account numbers 636&gt;633",)</f>
        <v>0</v>
      </c>
      <c r="H143" s="751"/>
      <c r="I143" s="751"/>
      <c r="Z143" s="309"/>
      <c r="AA143" s="309"/>
      <c r="AB143" s="309"/>
      <c r="AC143" s="309"/>
      <c r="AD143" s="309"/>
      <c r="AE143" s="309"/>
      <c r="AF143" s="309"/>
      <c r="AG143" s="309"/>
      <c r="AH143" s="309"/>
      <c r="AI143" s="309"/>
      <c r="AJ143" s="309"/>
      <c r="AK143" s="309"/>
      <c r="AL143" s="309"/>
      <c r="AM143" s="309"/>
      <c r="AN143" s="309"/>
      <c r="AO143" s="309"/>
      <c r="AP143" s="309"/>
      <c r="AQ143" s="309"/>
      <c r="AR143" s="309"/>
    </row>
    <row r="144" spans="1:44" ht="80.25" customHeight="1" x14ac:dyDescent="0.3">
      <c r="A144" s="309">
        <v>637</v>
      </c>
      <c r="B144" s="841" t="s">
        <v>716</v>
      </c>
      <c r="C144" s="840" t="s">
        <v>720</v>
      </c>
      <c r="D144" s="341" t="s">
        <v>1553</v>
      </c>
      <c r="E144" s="685" t="e">
        <f>HLOOKUP($D$2,'2020 Data(H)'!$C$1:$CR$393,296,FALSE)</f>
        <v>#N/A</v>
      </c>
      <c r="F144" s="295">
        <v>0</v>
      </c>
      <c r="G144" s="764">
        <f>IF(F144&gt;F140,"Please review account numbers 637&gt;633",)</f>
        <v>0</v>
      </c>
      <c r="H144" s="751"/>
      <c r="I144" s="751"/>
      <c r="Z144" s="309"/>
      <c r="AA144" s="309"/>
      <c r="AB144" s="309"/>
      <c r="AC144" s="309"/>
      <c r="AD144" s="309"/>
      <c r="AE144" s="309"/>
      <c r="AF144" s="309"/>
      <c r="AG144" s="309"/>
      <c r="AH144" s="309"/>
      <c r="AI144" s="309"/>
      <c r="AJ144" s="309"/>
      <c r="AK144" s="309"/>
      <c r="AL144" s="309"/>
      <c r="AM144" s="309"/>
      <c r="AN144" s="309"/>
      <c r="AO144" s="309"/>
      <c r="AP144" s="309"/>
      <c r="AQ144" s="309"/>
      <c r="AR144" s="309"/>
    </row>
    <row r="145" spans="1:44" ht="110.25" customHeight="1" x14ac:dyDescent="0.3">
      <c r="A145" s="309">
        <v>638</v>
      </c>
      <c r="B145" s="841" t="s">
        <v>716</v>
      </c>
      <c r="C145" s="840" t="s">
        <v>720</v>
      </c>
      <c r="D145" s="341" t="s">
        <v>1552</v>
      </c>
      <c r="E145" s="685" t="e">
        <f>HLOOKUP($D$2,'2020 Data(H)'!$C$1:$CR$393,297,FALSE)</f>
        <v>#N/A</v>
      </c>
      <c r="F145" s="295">
        <v>0</v>
      </c>
      <c r="G145" s="764">
        <f>IF(F145&gt;F140,"Please review account numbers 638&gt;633",)</f>
        <v>0</v>
      </c>
      <c r="H145" s="751"/>
      <c r="I145" s="751"/>
      <c r="Z145" s="309"/>
      <c r="AA145" s="309"/>
      <c r="AB145" s="309"/>
      <c r="AC145" s="309"/>
      <c r="AD145" s="309"/>
      <c r="AE145" s="309"/>
      <c r="AF145" s="309"/>
      <c r="AG145" s="309"/>
      <c r="AH145" s="309"/>
      <c r="AI145" s="309"/>
      <c r="AJ145" s="309"/>
      <c r="AK145" s="309"/>
      <c r="AL145" s="309"/>
      <c r="AM145" s="309"/>
      <c r="AN145" s="309"/>
      <c r="AO145" s="309"/>
      <c r="AP145" s="309"/>
      <c r="AQ145" s="309"/>
      <c r="AR145" s="309"/>
    </row>
    <row r="146" spans="1:44" ht="93.75" customHeight="1" x14ac:dyDescent="0.3">
      <c r="A146" s="108">
        <v>383</v>
      </c>
      <c r="B146" s="4" t="s">
        <v>62</v>
      </c>
      <c r="C146" s="4" t="s">
        <v>1464</v>
      </c>
      <c r="D146" s="29" t="s">
        <v>1551</v>
      </c>
      <c r="E146" s="685" t="e">
        <f>HLOOKUP($D$2,'2020 Data(H)'!$C$1:$CR$393,142,FALSE)</f>
        <v>#N/A</v>
      </c>
      <c r="F146" s="295">
        <v>0</v>
      </c>
      <c r="G146" s="765">
        <f>IF(F146&gt;F140,"Error: Please review components of current liabilities above. Account number 383&gt;633",)</f>
        <v>0</v>
      </c>
      <c r="H146" s="766"/>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customHeight="1" x14ac:dyDescent="0.3">
      <c r="A147" s="108">
        <v>349</v>
      </c>
      <c r="B147" s="4" t="s">
        <v>62</v>
      </c>
      <c r="C147" s="4" t="s">
        <v>1464</v>
      </c>
      <c r="D147" s="107" t="s">
        <v>153</v>
      </c>
      <c r="E147" s="685" t="e">
        <f>HLOOKUP($D$2,'2020 Data(H)'!$C$1:$CR$393,113,FALSE)</f>
        <v>#N/A</v>
      </c>
      <c r="F147" s="295">
        <v>0</v>
      </c>
      <c r="G147" s="746"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customHeight="1" x14ac:dyDescent="0.3">
      <c r="A148" s="108">
        <v>375</v>
      </c>
      <c r="B148" s="4" t="s">
        <v>62</v>
      </c>
      <c r="C148" s="4" t="s">
        <v>1464</v>
      </c>
      <c r="D148" s="724" t="s">
        <v>1470</v>
      </c>
      <c r="E148" s="685" t="e">
        <f>HLOOKUP($D$2,'2020 Data(H)'!$C$1:$CR$393,134,FALSE)</f>
        <v>#N/A</v>
      </c>
      <c r="F148" s="295">
        <v>0</v>
      </c>
      <c r="G148" s="756"/>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customHeight="1" x14ac:dyDescent="0.3">
      <c r="A149" s="108">
        <v>83</v>
      </c>
      <c r="B149" s="4" t="s">
        <v>61</v>
      </c>
      <c r="C149" s="4" t="s">
        <v>1464</v>
      </c>
      <c r="D149" s="107" t="s">
        <v>154</v>
      </c>
      <c r="E149" s="685" t="e">
        <f>HLOOKUP($D$2,'2020 Data(H)'!$C$1:$CR$393,47,FALSE)</f>
        <v>#N/A</v>
      </c>
      <c r="F149" s="295">
        <v>0</v>
      </c>
      <c r="G149" s="746">
        <f>IF(F138-F147-F149=0,,"Error: Total assets less total liabilities do not equal total net assets.  Account numbers 381-349-83=0  The amount of the formula is in the cell to the right")</f>
        <v>0</v>
      </c>
      <c r="H149" s="749">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customHeight="1" x14ac:dyDescent="0.3">
      <c r="A150" s="108"/>
      <c r="B150" s="880" t="s">
        <v>155</v>
      </c>
      <c r="C150" s="881"/>
      <c r="D150" s="856"/>
      <c r="E150" s="856"/>
      <c r="F150" s="876"/>
      <c r="G150" s="877"/>
      <c r="H150" s="760"/>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customHeight="1" x14ac:dyDescent="0.3">
      <c r="A151" s="108">
        <v>90</v>
      </c>
      <c r="B151" s="4" t="s">
        <v>63</v>
      </c>
      <c r="C151" s="4" t="s">
        <v>1471</v>
      </c>
      <c r="D151" s="24" t="s">
        <v>1472</v>
      </c>
      <c r="E151" s="685" t="e">
        <f>HLOOKUP($D$2,'2020 Data(H)'!$C$1:$CR$393,52,FALSE)</f>
        <v>#N/A</v>
      </c>
      <c r="F151" s="295">
        <v>0</v>
      </c>
      <c r="G151" s="746">
        <f>IF(F151&lt;0,"Note: Number is normally positive.",)</f>
        <v>0</v>
      </c>
      <c r="H151" s="767"/>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customHeight="1" x14ac:dyDescent="0.3">
      <c r="A152" s="108">
        <v>91</v>
      </c>
      <c r="B152" s="4" t="s">
        <v>58</v>
      </c>
      <c r="C152" s="4" t="s">
        <v>1471</v>
      </c>
      <c r="D152" s="24" t="s">
        <v>1473</v>
      </c>
      <c r="E152" s="685" t="e">
        <f>HLOOKUP($D$2,'2020 Data(H)'!$C$1:$CR$393,53,FALSE)</f>
        <v>#N/A</v>
      </c>
      <c r="F152" s="295">
        <v>0</v>
      </c>
      <c r="G152" s="746">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customHeight="1" x14ac:dyDescent="0.3">
      <c r="A153" s="108">
        <v>581</v>
      </c>
      <c r="B153" s="687" t="s">
        <v>559</v>
      </c>
      <c r="C153" s="687" t="s">
        <v>1471</v>
      </c>
      <c r="D153" s="839" t="s">
        <v>1474</v>
      </c>
      <c r="E153" s="685" t="e">
        <f>HLOOKUP($D$2,'2020 Data(H)'!$C$1:$CR$393,231,FALSE)</f>
        <v>#N/A</v>
      </c>
      <c r="F153" s="295">
        <v>0</v>
      </c>
      <c r="G153" s="746"/>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customHeight="1" x14ac:dyDescent="0.3">
      <c r="A154" s="108">
        <v>511</v>
      </c>
      <c r="B154" s="4" t="s">
        <v>58</v>
      </c>
      <c r="C154" s="4" t="s">
        <v>1471</v>
      </c>
      <c r="D154" s="25" t="s">
        <v>156</v>
      </c>
      <c r="E154" s="685" t="e">
        <f>HLOOKUP($D$2,'2020 Data(H)'!$C$1:$CR$393,161,FALSE)</f>
        <v>#N/A</v>
      </c>
      <c r="F154" s="295">
        <v>0</v>
      </c>
      <c r="G154" s="746">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customHeight="1" x14ac:dyDescent="0.3">
      <c r="A155" s="309">
        <v>657</v>
      </c>
      <c r="B155" s="840" t="s">
        <v>58</v>
      </c>
      <c r="C155" s="840" t="s">
        <v>1471</v>
      </c>
      <c r="D155" s="341" t="s">
        <v>1475</v>
      </c>
      <c r="E155" s="685" t="e">
        <f>HLOOKUP($D$2,'2020 Data(H)'!$C$1:$CR$393,310,FALSE)</f>
        <v>#N/A</v>
      </c>
      <c r="F155" s="295">
        <v>0</v>
      </c>
      <c r="G155" s="768">
        <f>IF((F151+F152+F154)&gt;F155,"Error: Please review components of current assets above.  Account numbers (90+91+511)&gt;657",)</f>
        <v>0</v>
      </c>
      <c r="H155" s="17"/>
      <c r="I155" s="79"/>
      <c r="Z155" s="309"/>
      <c r="AA155" s="309"/>
      <c r="AB155" s="309"/>
      <c r="AC155" s="309"/>
      <c r="AD155" s="309"/>
      <c r="AE155" s="309"/>
      <c r="AF155" s="309"/>
      <c r="AG155" s="309"/>
      <c r="AH155" s="309"/>
      <c r="AI155" s="309"/>
      <c r="AJ155" s="309"/>
      <c r="AK155" s="309"/>
      <c r="AL155" s="309"/>
      <c r="AM155" s="309"/>
      <c r="AN155" s="309"/>
      <c r="AO155" s="309"/>
      <c r="AP155" s="309"/>
      <c r="AQ155" s="309"/>
      <c r="AR155" s="309"/>
    </row>
    <row r="156" spans="1:44" ht="70.5" customHeight="1" x14ac:dyDescent="0.3">
      <c r="A156" s="309">
        <v>658</v>
      </c>
      <c r="B156" s="840" t="s">
        <v>58</v>
      </c>
      <c r="C156" s="840" t="s">
        <v>1471</v>
      </c>
      <c r="D156" s="311" t="s">
        <v>846</v>
      </c>
      <c r="E156" s="685" t="e">
        <f>HLOOKUP($D$2,'2020 Data(H)'!$C$1:$CR$393,311,FALSE)</f>
        <v>#N/A</v>
      </c>
      <c r="F156" s="295">
        <v>0</v>
      </c>
      <c r="G156" s="746"/>
      <c r="H156" s="17"/>
      <c r="I156" s="79"/>
      <c r="Z156" s="309"/>
      <c r="AA156" s="309"/>
      <c r="AB156" s="309"/>
      <c r="AC156" s="309"/>
      <c r="AD156" s="309"/>
      <c r="AE156" s="309"/>
      <c r="AF156" s="309"/>
      <c r="AG156" s="309"/>
      <c r="AH156" s="309"/>
      <c r="AI156" s="309"/>
      <c r="AJ156" s="309"/>
      <c r="AK156" s="309"/>
      <c r="AL156" s="309"/>
      <c r="AM156" s="309"/>
      <c r="AN156" s="309"/>
      <c r="AO156" s="309"/>
      <c r="AP156" s="309"/>
      <c r="AQ156" s="309"/>
      <c r="AR156" s="309"/>
    </row>
    <row r="157" spans="1:44" ht="50.25" customHeight="1" x14ac:dyDescent="0.3">
      <c r="A157" s="108">
        <v>382</v>
      </c>
      <c r="B157" s="4" t="s">
        <v>60</v>
      </c>
      <c r="C157" s="4" t="s">
        <v>1471</v>
      </c>
      <c r="D157" s="106" t="s">
        <v>130</v>
      </c>
      <c r="E157" s="685" t="e">
        <f>HLOOKUP($D$2,'2020 Data(H)'!$C$1:$CR$393,141,FALSE)</f>
        <v>#N/A</v>
      </c>
      <c r="F157" s="295">
        <v>0</v>
      </c>
      <c r="G157" s="768">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customHeight="1" x14ac:dyDescent="0.3">
      <c r="A158" s="108">
        <v>360</v>
      </c>
      <c r="B158" s="4" t="s">
        <v>56</v>
      </c>
      <c r="C158" s="4" t="s">
        <v>1471</v>
      </c>
      <c r="D158" s="107" t="s">
        <v>157</v>
      </c>
      <c r="E158" s="685" t="e">
        <f>HLOOKUP($D$2,'2020 Data(H)'!$C$1:$CR$393,121,FALSE)</f>
        <v>#N/A</v>
      </c>
      <c r="F158" s="295">
        <v>0</v>
      </c>
      <c r="G158" s="746"/>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customHeight="1" x14ac:dyDescent="0.3">
      <c r="A159" s="108">
        <v>580</v>
      </c>
      <c r="B159" s="687" t="s">
        <v>559</v>
      </c>
      <c r="C159" s="687" t="s">
        <v>1471</v>
      </c>
      <c r="D159" s="839" t="s">
        <v>1476</v>
      </c>
      <c r="E159" s="685" t="e">
        <f>HLOOKUP($D$2,'2020 Data(H)'!$C$1:$CR$393,230,FALSE)</f>
        <v>#N/A</v>
      </c>
      <c r="F159" s="295">
        <v>0</v>
      </c>
      <c r="G159" s="746"/>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customHeight="1" x14ac:dyDescent="0.3">
      <c r="A160" s="310">
        <v>639</v>
      </c>
      <c r="B160" s="840" t="s">
        <v>844</v>
      </c>
      <c r="C160" s="840" t="s">
        <v>1471</v>
      </c>
      <c r="D160" s="341" t="s">
        <v>1555</v>
      </c>
      <c r="E160" s="685" t="e">
        <f>HLOOKUP($D$2,'2020 Data(H)'!$C$1:$CR$393,298,FALSE)</f>
        <v>#N/A</v>
      </c>
      <c r="F160" s="295">
        <v>0</v>
      </c>
      <c r="G160" s="763" t="str">
        <f>IF(F160&gt;=(F161+F162+F163+F164+F165+F166),"","Account 639 is less than the total sum of accounts 640 through 644 + 384")</f>
        <v/>
      </c>
      <c r="H160" s="769">
        <f>F160-(F161+F162+F163+F164+F165+F166)</f>
        <v>0</v>
      </c>
      <c r="I160" s="751"/>
      <c r="Z160" s="310"/>
      <c r="AA160" s="310"/>
      <c r="AB160" s="310"/>
      <c r="AC160" s="310"/>
      <c r="AD160" s="310"/>
      <c r="AE160" s="310"/>
      <c r="AF160" s="310"/>
      <c r="AG160" s="310"/>
      <c r="AH160" s="310"/>
      <c r="AI160" s="310"/>
      <c r="AJ160" s="310"/>
      <c r="AK160" s="310"/>
      <c r="AL160" s="310"/>
      <c r="AM160" s="310"/>
      <c r="AN160" s="310"/>
      <c r="AO160" s="310"/>
      <c r="AP160" s="310"/>
      <c r="AQ160" s="310"/>
      <c r="AR160" s="310"/>
    </row>
    <row r="161" spans="1:44" ht="124.5" customHeight="1" x14ac:dyDescent="0.3">
      <c r="A161" s="309">
        <v>640</v>
      </c>
      <c r="B161" s="841" t="s">
        <v>716</v>
      </c>
      <c r="C161" s="840" t="s">
        <v>1471</v>
      </c>
      <c r="D161" s="341" t="s">
        <v>1556</v>
      </c>
      <c r="E161" s="685" t="e">
        <f>HLOOKUP($D$2,'2020 Data(H)'!$C$1:$CR$393,299,FALSE)</f>
        <v>#N/A</v>
      </c>
      <c r="F161" s="295">
        <v>0</v>
      </c>
      <c r="G161" s="768">
        <f>IF(F161&gt;F160,"Error: Please review components of current liabilities above. Account numbers 640&gt;639",)</f>
        <v>0</v>
      </c>
      <c r="H161" s="751"/>
      <c r="I161" s="769"/>
      <c r="Z161" s="309"/>
      <c r="AA161" s="309"/>
      <c r="AB161" s="309"/>
      <c r="AC161" s="309"/>
      <c r="AD161" s="309"/>
      <c r="AE161" s="309"/>
      <c r="AF161" s="309"/>
      <c r="AG161" s="309"/>
      <c r="AH161" s="309"/>
      <c r="AI161" s="309"/>
      <c r="AJ161" s="309"/>
      <c r="AK161" s="309"/>
      <c r="AL161" s="309"/>
      <c r="AM161" s="309"/>
      <c r="AN161" s="309"/>
      <c r="AO161" s="309"/>
      <c r="AP161" s="309"/>
      <c r="AQ161" s="309"/>
      <c r="AR161" s="309"/>
    </row>
    <row r="162" spans="1:44" ht="133.5" customHeight="1" x14ac:dyDescent="0.3">
      <c r="A162" s="309">
        <v>641</v>
      </c>
      <c r="B162" s="841" t="s">
        <v>716</v>
      </c>
      <c r="C162" s="840" t="s">
        <v>1471</v>
      </c>
      <c r="D162" s="341" t="s">
        <v>1557</v>
      </c>
      <c r="E162" s="685" t="e">
        <f>HLOOKUP($D$2,'2020 Data(H)'!$C$1:$CR$393,300,FALSE)</f>
        <v>#N/A</v>
      </c>
      <c r="F162" s="295">
        <v>0</v>
      </c>
      <c r="G162" s="768">
        <f>IF(F162&gt;F160,"Error: Please review components of current liabilities above. Account numbers 641&gt;639",)</f>
        <v>0</v>
      </c>
      <c r="H162" s="751"/>
      <c r="I162" s="751"/>
      <c r="Z162" s="309"/>
      <c r="AA162" s="309"/>
      <c r="AB162" s="309"/>
      <c r="AC162" s="309"/>
      <c r="AD162" s="309"/>
      <c r="AE162" s="309"/>
      <c r="AF162" s="309"/>
      <c r="AG162" s="309"/>
      <c r="AH162" s="309"/>
      <c r="AI162" s="309"/>
      <c r="AJ162" s="309"/>
      <c r="AK162" s="309"/>
      <c r="AL162" s="309"/>
      <c r="AM162" s="309"/>
      <c r="AN162" s="309"/>
      <c r="AO162" s="309"/>
      <c r="AP162" s="309"/>
      <c r="AQ162" s="309"/>
      <c r="AR162" s="309"/>
    </row>
    <row r="163" spans="1:44" ht="118.5" customHeight="1" x14ac:dyDescent="0.3">
      <c r="A163" s="309">
        <v>642</v>
      </c>
      <c r="B163" s="841" t="s">
        <v>716</v>
      </c>
      <c r="C163" s="840" t="s">
        <v>1471</v>
      </c>
      <c r="D163" s="341" t="s">
        <v>1558</v>
      </c>
      <c r="E163" s="685" t="e">
        <f>HLOOKUP($D$2,'2020 Data(H)'!$C$1:$CR$393,301,FALSE)</f>
        <v>#N/A</v>
      </c>
      <c r="F163" s="295">
        <v>0</v>
      </c>
      <c r="G163" s="768">
        <f>IF(F163&gt;F160,"Error: Please review components of current liabilities above. Account numbers  642&gt;639",)</f>
        <v>0</v>
      </c>
      <c r="H163" s="751"/>
      <c r="I163" s="751"/>
      <c r="Z163" s="309"/>
      <c r="AA163" s="309"/>
      <c r="AB163" s="309"/>
      <c r="AC163" s="309"/>
      <c r="AD163" s="309"/>
      <c r="AE163" s="309"/>
      <c r="AF163" s="309"/>
      <c r="AG163" s="309"/>
      <c r="AH163" s="309"/>
      <c r="AI163" s="309"/>
      <c r="AJ163" s="309"/>
      <c r="AK163" s="309"/>
      <c r="AL163" s="309"/>
      <c r="AM163" s="309"/>
      <c r="AN163" s="309"/>
      <c r="AO163" s="309"/>
      <c r="AP163" s="309"/>
      <c r="AQ163" s="309"/>
      <c r="AR163" s="309"/>
    </row>
    <row r="164" spans="1:44" ht="81.75" customHeight="1" x14ac:dyDescent="0.3">
      <c r="A164" s="309">
        <v>643</v>
      </c>
      <c r="B164" s="841" t="s">
        <v>716</v>
      </c>
      <c r="C164" s="840" t="s">
        <v>1471</v>
      </c>
      <c r="D164" s="341" t="s">
        <v>1559</v>
      </c>
      <c r="E164" s="685" t="e">
        <f>HLOOKUP($D$2,'2020 Data(H)'!$C$1:$CR$393,302,FALSE)</f>
        <v>#N/A</v>
      </c>
      <c r="F164" s="295">
        <v>0</v>
      </c>
      <c r="G164" s="768">
        <f>IF(F164&gt;F160,"Error: Please review components of current liabilities above. Account numbers 643&gt;639",)</f>
        <v>0</v>
      </c>
      <c r="H164" s="751"/>
      <c r="I164" s="751"/>
      <c r="Z164" s="309"/>
      <c r="AA164" s="309"/>
      <c r="AB164" s="309"/>
      <c r="AC164" s="309"/>
      <c r="AD164" s="309"/>
      <c r="AE164" s="309"/>
      <c r="AF164" s="309"/>
      <c r="AG164" s="309"/>
      <c r="AH164" s="309"/>
      <c r="AI164" s="309"/>
      <c r="AJ164" s="309"/>
      <c r="AK164" s="309"/>
      <c r="AL164" s="309"/>
      <c r="AM164" s="309"/>
      <c r="AN164" s="309"/>
      <c r="AO164" s="309"/>
      <c r="AP164" s="309"/>
      <c r="AQ164" s="309"/>
      <c r="AR164" s="309"/>
    </row>
    <row r="165" spans="1:44" ht="108" customHeight="1" x14ac:dyDescent="0.3">
      <c r="A165" s="309">
        <v>644</v>
      </c>
      <c r="B165" s="841" t="s">
        <v>716</v>
      </c>
      <c r="C165" s="840" t="s">
        <v>1471</v>
      </c>
      <c r="D165" s="341" t="s">
        <v>1560</v>
      </c>
      <c r="E165" s="685" t="e">
        <f>HLOOKUP($D$2,'2020 Data(H)'!$C$1:$CR$393,303,FALSE)</f>
        <v>#N/A</v>
      </c>
      <c r="F165" s="295">
        <v>0</v>
      </c>
      <c r="G165" s="768">
        <f>IF(F165&gt;F160,"Error: Please review components of current liabilities above. Account number 644&gt;639",)</f>
        <v>0</v>
      </c>
      <c r="H165" s="751"/>
      <c r="I165" s="751"/>
      <c r="Z165" s="309"/>
      <c r="AA165" s="309"/>
      <c r="AB165" s="309"/>
      <c r="AC165" s="309"/>
      <c r="AD165" s="309"/>
      <c r="AE165" s="309"/>
      <c r="AF165" s="309"/>
      <c r="AG165" s="309"/>
      <c r="AH165" s="309"/>
      <c r="AI165" s="309"/>
      <c r="AJ165" s="309"/>
      <c r="AK165" s="309"/>
      <c r="AL165" s="309"/>
      <c r="AM165" s="309"/>
      <c r="AN165" s="309"/>
      <c r="AO165" s="309"/>
      <c r="AP165" s="309"/>
      <c r="AQ165" s="309"/>
      <c r="AR165" s="309"/>
    </row>
    <row r="166" spans="1:44" ht="99.75" customHeight="1" x14ac:dyDescent="0.3">
      <c r="A166" s="108">
        <v>384</v>
      </c>
      <c r="B166" s="4" t="s">
        <v>63</v>
      </c>
      <c r="C166" s="4" t="s">
        <v>1471</v>
      </c>
      <c r="D166" s="29" t="s">
        <v>1561</v>
      </c>
      <c r="E166" s="685" t="e">
        <f>HLOOKUP($D$2,'2020 Data(H)'!$C$1:$CR$393,143,FALSE)</f>
        <v>#N/A</v>
      </c>
      <c r="F166" s="754">
        <v>0</v>
      </c>
      <c r="G166" s="765">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customHeight="1" x14ac:dyDescent="0.3">
      <c r="A167" s="108">
        <v>361</v>
      </c>
      <c r="B167" s="4" t="s">
        <v>56</v>
      </c>
      <c r="C167" s="4" t="s">
        <v>1471</v>
      </c>
      <c r="D167" s="724" t="s">
        <v>1477</v>
      </c>
      <c r="E167" s="685" t="e">
        <f>HLOOKUP($D$2,'2020 Data(H)'!$C$1:$CR$393,122,FALSE)</f>
        <v>#N/A</v>
      </c>
      <c r="F167" s="295">
        <v>0</v>
      </c>
      <c r="G167" s="756"/>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customHeight="1" x14ac:dyDescent="0.3">
      <c r="A168" s="108">
        <v>362</v>
      </c>
      <c r="B168" s="4" t="s">
        <v>56</v>
      </c>
      <c r="C168" s="4" t="s">
        <v>1471</v>
      </c>
      <c r="D168" s="107" t="s">
        <v>158</v>
      </c>
      <c r="E168" s="685" t="e">
        <f>HLOOKUP($D$2,'2020 Data(H)'!$C$1:$CR$393,123,FALSE)</f>
        <v>#N/A</v>
      </c>
      <c r="F168" s="295">
        <v>0</v>
      </c>
      <c r="G168" s="746">
        <f>IF(H168=0,,"Error: Total assets less total liabilities do not equal total net position. Account numbers 382-360-362=0  The amount of the formula is in the cell to the right")</f>
        <v>0</v>
      </c>
      <c r="H168" s="749">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customHeight="1" x14ac:dyDescent="0.3">
      <c r="A169" s="108"/>
      <c r="B169" s="869" t="s">
        <v>182</v>
      </c>
      <c r="C169" s="870"/>
      <c r="D169" s="882"/>
      <c r="E169" s="863"/>
      <c r="F169" s="868"/>
      <c r="G169" s="868"/>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customHeight="1" x14ac:dyDescent="0.3">
      <c r="A170" s="108"/>
      <c r="B170" s="1186" t="s">
        <v>1578</v>
      </c>
      <c r="C170" s="1186"/>
      <c r="D170" s="1186"/>
      <c r="E170" s="856"/>
      <c r="F170" s="877"/>
      <c r="G170" s="877"/>
      <c r="H170" s="17"/>
      <c r="I170" s="79"/>
      <c r="N170" s="296"/>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customHeight="1" x14ac:dyDescent="0.3">
      <c r="A171" s="108">
        <v>88</v>
      </c>
      <c r="B171" s="4" t="s">
        <v>61</v>
      </c>
      <c r="C171" s="4" t="s">
        <v>1478</v>
      </c>
      <c r="D171" s="24" t="s">
        <v>1479</v>
      </c>
      <c r="E171" s="685" t="e">
        <f>HLOOKUP($D$2,'2020 Data(H)'!$C$1:$CR$393,50,FALSE)</f>
        <v>#N/A</v>
      </c>
      <c r="F171" s="295">
        <v>0</v>
      </c>
      <c r="G171" s="756"/>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customHeight="1" x14ac:dyDescent="0.3">
      <c r="A172" s="108">
        <v>84</v>
      </c>
      <c r="B172" s="4" t="s">
        <v>61</v>
      </c>
      <c r="C172" s="4" t="s">
        <v>1478</v>
      </c>
      <c r="D172" s="29" t="s">
        <v>159</v>
      </c>
      <c r="E172" s="685" t="e">
        <f>HLOOKUP($D$2,'2020 Data(H)'!$C$1:$CR$393,48,FALSE)</f>
        <v>#N/A</v>
      </c>
      <c r="F172" s="295">
        <v>0</v>
      </c>
      <c r="G172" s="746">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customHeight="1" x14ac:dyDescent="0.3">
      <c r="A173" s="108">
        <v>49</v>
      </c>
      <c r="B173" s="4" t="s">
        <v>57</v>
      </c>
      <c r="C173" s="4" t="s">
        <v>1478</v>
      </c>
      <c r="D173" s="29" t="s">
        <v>160</v>
      </c>
      <c r="E173" s="685" t="e">
        <f>HLOOKUP($D$2,'2020 Data(H)'!$C$1:$CR$393,36,FALSE)</f>
        <v>#N/A</v>
      </c>
      <c r="F173" s="295">
        <v>0</v>
      </c>
      <c r="G173" s="746">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customHeight="1" x14ac:dyDescent="0.3">
      <c r="A174" s="108">
        <v>85</v>
      </c>
      <c r="B174" s="4" t="s">
        <v>68</v>
      </c>
      <c r="C174" s="4" t="s">
        <v>1478</v>
      </c>
      <c r="D174" s="29" t="s">
        <v>161</v>
      </c>
      <c r="E174" s="685" t="e">
        <f>HLOOKUP($D$2,'2020 Data(H)'!$C$1:$CR$393,49,FALSE)</f>
        <v>#N/A</v>
      </c>
      <c r="F174" s="295">
        <v>0</v>
      </c>
      <c r="G174" s="746">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customHeight="1" x14ac:dyDescent="0.3">
      <c r="A175" s="108">
        <v>89</v>
      </c>
      <c r="B175" s="4" t="s">
        <v>56</v>
      </c>
      <c r="C175" s="4" t="s">
        <v>1478</v>
      </c>
      <c r="D175" s="29" t="s">
        <v>162</v>
      </c>
      <c r="E175" s="685" t="e">
        <f>HLOOKUP($D$2,'2020 Data(H)'!$C$1:$CR$393,51,FALSE)</f>
        <v>#N/A</v>
      </c>
      <c r="F175" s="295">
        <v>0</v>
      </c>
      <c r="G175" s="746">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customHeight="1" x14ac:dyDescent="0.3">
      <c r="A176" s="108">
        <v>350</v>
      </c>
      <c r="B176" s="4" t="s">
        <v>56</v>
      </c>
      <c r="C176" s="4" t="s">
        <v>1478</v>
      </c>
      <c r="D176" s="24" t="s">
        <v>1480</v>
      </c>
      <c r="E176" s="685" t="e">
        <f>HLOOKUP($D$2,'2020 Data(H)'!$C$1:$CR$393,114,FALSE)</f>
        <v>#N/A</v>
      </c>
      <c r="F176" s="295">
        <v>0</v>
      </c>
      <c r="G176" s="756"/>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customHeight="1" x14ac:dyDescent="0.3">
      <c r="A177" s="108">
        <v>351</v>
      </c>
      <c r="B177" s="4" t="s">
        <v>56</v>
      </c>
      <c r="C177" s="4" t="s">
        <v>1478</v>
      </c>
      <c r="D177" s="24" t="s">
        <v>1481</v>
      </c>
      <c r="E177" s="685" t="e">
        <f>HLOOKUP($D$2,'2020 Data(H)'!$C$1:$CR$393,115,FALSE)</f>
        <v>#N/A</v>
      </c>
      <c r="F177" s="295">
        <v>0</v>
      </c>
      <c r="G177" s="746">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customHeight="1" x14ac:dyDescent="0.3">
      <c r="A178" s="108">
        <v>191</v>
      </c>
      <c r="B178" s="4" t="s">
        <v>57</v>
      </c>
      <c r="C178" s="4" t="s">
        <v>1478</v>
      </c>
      <c r="D178" s="24" t="s">
        <v>1482</v>
      </c>
      <c r="E178" s="685" t="e">
        <f>HLOOKUP($D$2,'2020 Data(H)'!$C$1:$CR$393,72,FALSE)</f>
        <v>#N/A</v>
      </c>
      <c r="F178" s="295">
        <v>0</v>
      </c>
      <c r="G178" s="746">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customHeight="1" x14ac:dyDescent="0.3">
      <c r="A179" s="108">
        <v>352</v>
      </c>
      <c r="B179" s="4" t="s">
        <v>68</v>
      </c>
      <c r="C179" s="4" t="s">
        <v>1478</v>
      </c>
      <c r="D179" s="29" t="s">
        <v>1323</v>
      </c>
      <c r="E179" s="685" t="e">
        <f>HLOOKUP($D$2,'2020 Data(H)'!$C$1:$CR$393,116,FALSE)</f>
        <v>#N/A</v>
      </c>
      <c r="F179" s="295">
        <v>0</v>
      </c>
      <c r="G179" s="746">
        <f>IF(F179&lt;0,"Error: Enter as positive.",)</f>
        <v>0</v>
      </c>
      <c r="H179" s="725"/>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customHeight="1" x14ac:dyDescent="0.3">
      <c r="A180" s="108">
        <v>986</v>
      </c>
      <c r="B180" s="844" t="s">
        <v>1041</v>
      </c>
      <c r="C180" s="844" t="s">
        <v>1478</v>
      </c>
      <c r="D180" s="315" t="s">
        <v>1070</v>
      </c>
      <c r="E180" s="685" t="s">
        <v>1042</v>
      </c>
      <c r="F180" s="295">
        <v>0</v>
      </c>
      <c r="G180" s="746">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customHeight="1" x14ac:dyDescent="0.3">
      <c r="A181" s="108">
        <v>353</v>
      </c>
      <c r="B181" s="4" t="s">
        <v>68</v>
      </c>
      <c r="C181" s="4" t="s">
        <v>1478</v>
      </c>
      <c r="D181" s="29" t="s">
        <v>143</v>
      </c>
      <c r="E181" s="685" t="e">
        <f>HLOOKUP($D$2,'2020 Data(H)'!$C$1:$CR$393,117,FALSE)</f>
        <v>#N/A</v>
      </c>
      <c r="F181" s="295">
        <v>0</v>
      </c>
      <c r="G181" s="746">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customHeight="1" x14ac:dyDescent="0.3">
      <c r="A182" s="108">
        <v>50</v>
      </c>
      <c r="B182" s="4" t="s">
        <v>64</v>
      </c>
      <c r="C182" s="4" t="s">
        <v>1478</v>
      </c>
      <c r="D182" s="724" t="s">
        <v>1483</v>
      </c>
      <c r="E182" s="685" t="e">
        <f>HLOOKUP($D$2,'2020 Data(H)'!$C$1:$CR$393,37,FALSE)</f>
        <v>#N/A</v>
      </c>
      <c r="F182" s="293">
        <v>0</v>
      </c>
      <c r="G182" s="746">
        <f>IF(H182=0,,"Error: Total revenues less total expenses do not equal total change in net position. Account number 84-85+350-351+191+352-353-50=0  The amount of the formula is in the cell to the right")</f>
        <v>0</v>
      </c>
      <c r="H182" s="749">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customHeight="1" x14ac:dyDescent="0.3">
      <c r="A183" s="108">
        <v>377</v>
      </c>
      <c r="B183" s="4" t="s">
        <v>68</v>
      </c>
      <c r="C183" s="4" t="s">
        <v>1478</v>
      </c>
      <c r="D183" s="724" t="s">
        <v>1484</v>
      </c>
      <c r="E183" s="685" t="e">
        <f>HLOOKUP($D$2,'2020 Data(H)'!$C$1:$CR$393,136,FALSE)</f>
        <v>#N/A</v>
      </c>
      <c r="F183" s="293">
        <v>0</v>
      </c>
      <c r="G183" s="746" t="e">
        <f>IF(F149-F182-F183=E149,,"Error: Beginning Balance does not agree with our records.  Acct #s (83-50-377)=prior year 83 The amount of the formula is in the cell to the right")</f>
        <v>#N/A</v>
      </c>
      <c r="H183" s="749" t="e">
        <f>+F149-F182-F183-E149</f>
        <v>#N/A</v>
      </c>
      <c r="I183" s="1173" t="s">
        <v>1829</v>
      </c>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customHeight="1" x14ac:dyDescent="0.3">
      <c r="A184" s="108">
        <v>537</v>
      </c>
      <c r="B184" s="687" t="s">
        <v>59</v>
      </c>
      <c r="C184" s="687" t="s">
        <v>1478</v>
      </c>
      <c r="D184" s="684" t="s">
        <v>1485</v>
      </c>
      <c r="E184" s="59" t="e">
        <f>HLOOKUP($D$2,'2020 Data(H)'!$C$1:$CR$393,250,FALSE)</f>
        <v>#N/A</v>
      </c>
      <c r="F184" s="295"/>
      <c r="G184" s="746"/>
      <c r="H184" s="747"/>
      <c r="I184" s="748"/>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customHeight="1" x14ac:dyDescent="0.3">
      <c r="A185" s="108">
        <v>538</v>
      </c>
      <c r="B185" s="687" t="s">
        <v>59</v>
      </c>
      <c r="C185" s="687" t="s">
        <v>1478</v>
      </c>
      <c r="D185" s="684" t="s">
        <v>1486</v>
      </c>
      <c r="E185" s="685" t="e">
        <f>HLOOKUP($D$2,'2020 Data(H)'!$C$1:$CR$393,251,FALSE)</f>
        <v>#N/A</v>
      </c>
      <c r="F185" s="295"/>
      <c r="G185" s="746"/>
      <c r="H185" s="747"/>
      <c r="I185" s="748"/>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customHeight="1" x14ac:dyDescent="0.3">
      <c r="A186" s="108"/>
      <c r="B186" s="880" t="s">
        <v>6</v>
      </c>
      <c r="C186" s="881"/>
      <c r="D186" s="856"/>
      <c r="E186" s="856"/>
      <c r="F186" s="876"/>
      <c r="G186" s="877"/>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customHeight="1" x14ac:dyDescent="0.3">
      <c r="A187" s="108">
        <v>97</v>
      </c>
      <c r="B187" s="4" t="s">
        <v>68</v>
      </c>
      <c r="C187" s="4" t="s">
        <v>1487</v>
      </c>
      <c r="D187" s="29" t="s">
        <v>163</v>
      </c>
      <c r="E187" s="685" t="e">
        <f>HLOOKUP($D$2,'2020 Data(H)'!$C$1:$CR$393,57,FALSE)</f>
        <v>#N/A</v>
      </c>
      <c r="F187" s="293">
        <v>0</v>
      </c>
      <c r="G187" s="756"/>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customHeight="1" x14ac:dyDescent="0.3">
      <c r="A188" s="108">
        <v>93</v>
      </c>
      <c r="B188" s="4" t="s">
        <v>66</v>
      </c>
      <c r="C188" s="4" t="s">
        <v>1487</v>
      </c>
      <c r="D188" s="29" t="s">
        <v>159</v>
      </c>
      <c r="E188" s="685" t="e">
        <f>HLOOKUP($D$2,'2020 Data(H)'!$C$1:$CR$393,55,FALSE)</f>
        <v>#N/A</v>
      </c>
      <c r="F188" s="294">
        <v>0</v>
      </c>
      <c r="G188" s="746">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customHeight="1" x14ac:dyDescent="0.3">
      <c r="A189" s="108">
        <v>99</v>
      </c>
      <c r="B189" s="4" t="s">
        <v>58</v>
      </c>
      <c r="C189" s="4" t="s">
        <v>1487</v>
      </c>
      <c r="D189" s="29" t="s">
        <v>164</v>
      </c>
      <c r="E189" s="685" t="e">
        <f>HLOOKUP($D$2,'2020 Data(H)'!$C$1:$CR$393,59,FALSE)</f>
        <v>#N/A</v>
      </c>
      <c r="F189" s="294">
        <v>0</v>
      </c>
      <c r="G189" s="746">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customHeight="1" x14ac:dyDescent="0.3">
      <c r="A190" s="108">
        <v>52</v>
      </c>
      <c r="B190" s="4" t="s">
        <v>58</v>
      </c>
      <c r="C190" s="4" t="s">
        <v>1487</v>
      </c>
      <c r="D190" s="29" t="s">
        <v>160</v>
      </c>
      <c r="E190" s="685" t="e">
        <f>HLOOKUP($D$2,'2020 Data(H)'!$C$1:$CR$393,39,FALSE)</f>
        <v>#N/A</v>
      </c>
      <c r="F190" s="294">
        <v>0</v>
      </c>
      <c r="G190" s="746">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customHeight="1" x14ac:dyDescent="0.3">
      <c r="A191" s="108">
        <v>94</v>
      </c>
      <c r="B191" s="4" t="s">
        <v>66</v>
      </c>
      <c r="C191" s="4" t="s">
        <v>1487</v>
      </c>
      <c r="D191" s="29" t="s">
        <v>161</v>
      </c>
      <c r="E191" s="685" t="e">
        <f>HLOOKUP($D$2,'2020 Data(H)'!$C$1:$CR$393,56,FALSE)</f>
        <v>#N/A</v>
      </c>
      <c r="F191" s="294">
        <v>0</v>
      </c>
      <c r="G191" s="746">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customHeight="1" x14ac:dyDescent="0.3">
      <c r="A192" s="108">
        <v>98</v>
      </c>
      <c r="B192" s="4" t="s">
        <v>66</v>
      </c>
      <c r="C192" s="4" t="s">
        <v>1487</v>
      </c>
      <c r="D192" s="29" t="s">
        <v>162</v>
      </c>
      <c r="E192" s="685" t="e">
        <f>HLOOKUP($D$2,'2020 Data(H)'!$C$1:$CR$393,58,FALSE)</f>
        <v>#N/A</v>
      </c>
      <c r="F192" s="294">
        <v>0</v>
      </c>
      <c r="G192" s="746">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customHeight="1" x14ac:dyDescent="0.3">
      <c r="A193" s="108">
        <v>363</v>
      </c>
      <c r="B193" s="4" t="s">
        <v>56</v>
      </c>
      <c r="C193" s="4" t="s">
        <v>1487</v>
      </c>
      <c r="D193" s="24" t="s">
        <v>1488</v>
      </c>
      <c r="E193" s="685" t="e">
        <f>HLOOKUP($D$2,'2020 Data(H)'!$C$1:$CR$393,124,FALSE)</f>
        <v>#N/A</v>
      </c>
      <c r="F193" s="294">
        <v>0</v>
      </c>
      <c r="G193" s="746">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customHeight="1" x14ac:dyDescent="0.3">
      <c r="A194" s="108">
        <v>364</v>
      </c>
      <c r="B194" s="4" t="s">
        <v>56</v>
      </c>
      <c r="C194" s="4" t="s">
        <v>1487</v>
      </c>
      <c r="D194" s="24" t="s">
        <v>1489</v>
      </c>
      <c r="E194" s="685" t="e">
        <f>HLOOKUP($D$2,'2020 Data(H)'!$C$1:$CR$393,125,FALSE)</f>
        <v>#N/A</v>
      </c>
      <c r="F194" s="294">
        <v>0</v>
      </c>
      <c r="G194" s="746">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customHeight="1" x14ac:dyDescent="0.3">
      <c r="A195" s="108">
        <v>192</v>
      </c>
      <c r="B195" s="4" t="s">
        <v>58</v>
      </c>
      <c r="C195" s="4" t="s">
        <v>1487</v>
      </c>
      <c r="D195" s="24" t="s">
        <v>1490</v>
      </c>
      <c r="E195" s="685" t="e">
        <f>HLOOKUP($D$2,'2020 Data(H)'!$C$1:$CR$393,73,FALSE)</f>
        <v>#N/A</v>
      </c>
      <c r="F195" s="294">
        <v>0</v>
      </c>
      <c r="G195" s="746">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customHeight="1" x14ac:dyDescent="0.3">
      <c r="A196" s="108">
        <v>365</v>
      </c>
      <c r="B196" s="4" t="s">
        <v>66</v>
      </c>
      <c r="C196" s="4" t="s">
        <v>1487</v>
      </c>
      <c r="D196" s="24" t="s">
        <v>1491</v>
      </c>
      <c r="E196" s="685" t="e">
        <f>HLOOKUP($D$2,'2020 Data(H)'!$C$1:$CR$393,126,FALSE)</f>
        <v>#N/A</v>
      </c>
      <c r="F196" s="294">
        <v>0</v>
      </c>
      <c r="G196" s="746">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customHeight="1" x14ac:dyDescent="0.3">
      <c r="A197" s="108">
        <v>366</v>
      </c>
      <c r="B197" s="4" t="s">
        <v>66</v>
      </c>
      <c r="C197" s="4" t="s">
        <v>1487</v>
      </c>
      <c r="D197" s="24" t="s">
        <v>1492</v>
      </c>
      <c r="E197" s="685" t="e">
        <f>HLOOKUP($D$2,'2020 Data(H)'!$C$1:$CR$393,127,FALSE)</f>
        <v>#N/A</v>
      </c>
      <c r="F197" s="294">
        <v>0</v>
      </c>
      <c r="G197" s="746">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customHeight="1" x14ac:dyDescent="0.3">
      <c r="A198" s="108">
        <v>53</v>
      </c>
      <c r="B198" s="687" t="s">
        <v>66</v>
      </c>
      <c r="C198" s="687" t="s">
        <v>1487</v>
      </c>
      <c r="D198" s="724" t="s">
        <v>1493</v>
      </c>
      <c r="E198" s="685" t="e">
        <f>HLOOKUP($D$2,'2020 Data(H)'!$C$1:$CR$393,40,FALSE)</f>
        <v>#N/A</v>
      </c>
      <c r="F198" s="294">
        <v>0</v>
      </c>
      <c r="G198" s="746">
        <f>IF(H198=0,,"Error: Total revenues less total expenses do not equal total change in net position. Account number 93-94+363-364+192+365-366-53=0  The amount of the formula is in the cell to the right")</f>
        <v>0</v>
      </c>
      <c r="H198" s="749">
        <f>+F188-F191+F193-F194+F195+F196-F197-F198</f>
        <v>0</v>
      </c>
      <c r="I198" s="79"/>
      <c r="N198" s="296"/>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customHeight="1" x14ac:dyDescent="0.3">
      <c r="A199" s="108">
        <v>378</v>
      </c>
      <c r="B199" s="5" t="s">
        <v>56</v>
      </c>
      <c r="C199" s="4" t="s">
        <v>1487</v>
      </c>
      <c r="D199" s="724" t="s">
        <v>1494</v>
      </c>
      <c r="E199" s="685" t="e">
        <f>HLOOKUP($D$2,'2020 Data(H)'!$C$1:$CR$393,137,FALSE)</f>
        <v>#N/A</v>
      </c>
      <c r="F199" s="293">
        <v>0</v>
      </c>
      <c r="G199" s="746" t="e">
        <f>IF(F168-F198-F199=E168,,"Error: Beginning Balance does not agree with our records.  Acct #s (362-53-378)=prior year 362  The amount of the formula is in the cell to the right")</f>
        <v>#N/A</v>
      </c>
      <c r="H199" s="749" t="e">
        <f>+F168-F198-F199-E168</f>
        <v>#N/A</v>
      </c>
      <c r="I199" s="1173" t="s">
        <v>1829</v>
      </c>
      <c r="N199" s="296"/>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customHeight="1" x14ac:dyDescent="0.3">
      <c r="A200" s="108"/>
      <c r="B200" s="880" t="s">
        <v>821</v>
      </c>
      <c r="C200" s="880"/>
      <c r="D200" s="883"/>
      <c r="E200" s="863"/>
      <c r="F200" s="884"/>
      <c r="G200" s="865"/>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customHeight="1" x14ac:dyDescent="0.3">
      <c r="A201" s="108"/>
      <c r="B201" s="885" t="s">
        <v>1495</v>
      </c>
      <c r="C201" s="881"/>
      <c r="D201" s="856"/>
      <c r="E201" s="856"/>
      <c r="F201" s="886"/>
      <c r="G201" s="877"/>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customHeight="1" x14ac:dyDescent="0.3">
      <c r="A202" s="108"/>
      <c r="B202" s="881" t="s">
        <v>1496</v>
      </c>
      <c r="C202" s="881"/>
      <c r="D202" s="872"/>
      <c r="E202" s="854"/>
      <c r="F202" s="887"/>
      <c r="G202" s="879"/>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customHeight="1" x14ac:dyDescent="0.3">
      <c r="A203" s="108"/>
      <c r="B203" s="881" t="s">
        <v>23</v>
      </c>
      <c r="C203" s="881"/>
      <c r="D203" s="872"/>
      <c r="E203" s="854"/>
      <c r="F203" s="887"/>
      <c r="G203" s="879"/>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customHeight="1" x14ac:dyDescent="0.3">
      <c r="A204" s="108">
        <v>51</v>
      </c>
      <c r="B204" s="4" t="s">
        <v>526</v>
      </c>
      <c r="C204" s="845" t="s">
        <v>1497</v>
      </c>
      <c r="D204" s="24" t="s">
        <v>1498</v>
      </c>
      <c r="E204" s="685" t="e">
        <f>HLOOKUP($D$2,'2020 Data(H)'!$C$1:$CR$393,38,FALSE)</f>
        <v>#N/A</v>
      </c>
      <c r="F204" s="294">
        <v>0</v>
      </c>
      <c r="G204" s="756"/>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customHeight="1" x14ac:dyDescent="0.3">
      <c r="A205" s="108">
        <v>332</v>
      </c>
      <c r="B205" s="4" t="s">
        <v>37</v>
      </c>
      <c r="C205" s="845" t="s">
        <v>1497</v>
      </c>
      <c r="D205" s="24" t="s">
        <v>1499</v>
      </c>
      <c r="E205" s="685" t="e">
        <f>HLOOKUP($D$2,'2020 Data(H)'!$C$1:$CR$393,98,FALSE)</f>
        <v>#N/A</v>
      </c>
      <c r="F205" s="294">
        <v>0</v>
      </c>
      <c r="G205" s="746">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customHeight="1" x14ac:dyDescent="0.3">
      <c r="A206" s="108">
        <v>331</v>
      </c>
      <c r="B206" s="4" t="s">
        <v>526</v>
      </c>
      <c r="C206" s="845" t="s">
        <v>1497</v>
      </c>
      <c r="D206" s="24" t="s">
        <v>1500</v>
      </c>
      <c r="E206" s="685" t="e">
        <f>HLOOKUP($D$2,'2020 Data(H)'!$C$1:$CR$393,97,FALSE)</f>
        <v>#N/A</v>
      </c>
      <c r="F206" s="294">
        <v>0</v>
      </c>
      <c r="G206" s="746">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x14ac:dyDescent="0.3">
      <c r="A207" s="108"/>
      <c r="B207" s="880" t="s">
        <v>6</v>
      </c>
      <c r="C207" s="881"/>
      <c r="D207" s="881"/>
      <c r="E207" s="856"/>
      <c r="F207" s="886"/>
      <c r="G207" s="888"/>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customHeight="1" x14ac:dyDescent="0.3">
      <c r="A208" s="108">
        <v>55</v>
      </c>
      <c r="B208" s="4" t="s">
        <v>59</v>
      </c>
      <c r="C208" s="845" t="s">
        <v>1501</v>
      </c>
      <c r="D208" s="24" t="s">
        <v>1502</v>
      </c>
      <c r="E208" s="685" t="e">
        <f>HLOOKUP($D$2,'2020 Data(H)'!$C$1:$CR$393,42,FALSE)</f>
        <v>#N/A</v>
      </c>
      <c r="F208" s="294">
        <v>0</v>
      </c>
      <c r="G208" s="756"/>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customHeight="1" x14ac:dyDescent="0.3">
      <c r="A209" s="108">
        <v>101</v>
      </c>
      <c r="B209" s="4" t="s">
        <v>65</v>
      </c>
      <c r="C209" s="845" t="s">
        <v>1501</v>
      </c>
      <c r="D209" s="24" t="s">
        <v>1503</v>
      </c>
      <c r="E209" s="685" t="e">
        <f>HLOOKUP($D$2,'2020 Data(H)'!$C$1:$CR$393,61,FALSE)</f>
        <v>#N/A</v>
      </c>
      <c r="F209" s="294">
        <v>0</v>
      </c>
      <c r="G209" s="746">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customHeight="1" x14ac:dyDescent="0.3">
      <c r="A210" s="108">
        <v>100</v>
      </c>
      <c r="B210" s="4" t="s">
        <v>66</v>
      </c>
      <c r="C210" s="845" t="s">
        <v>1501</v>
      </c>
      <c r="D210" s="24" t="s">
        <v>1500</v>
      </c>
      <c r="E210" s="685" t="e">
        <f>HLOOKUP($D$2,'2020 Data(H)'!$C$1:$CR$393,60,FALSE)</f>
        <v>#N/A</v>
      </c>
      <c r="F210" s="294">
        <v>0</v>
      </c>
      <c r="G210" s="746">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856" t="s">
        <v>71</v>
      </c>
      <c r="C211" s="872"/>
      <c r="D211" s="856"/>
      <c r="E211" s="856"/>
      <c r="F211" s="889"/>
      <c r="G211" s="875"/>
      <c r="H211" s="17"/>
      <c r="I211" s="79"/>
      <c r="J211" s="591"/>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575"/>
      <c r="C212" s="845" t="s">
        <v>165</v>
      </c>
      <c r="D212" s="24" t="s">
        <v>1504</v>
      </c>
      <c r="E212" s="685" t="e">
        <f>HLOOKUP($D$2,'2020 Data(H)'!$C$1:$CR$393,162,FALSE)</f>
        <v>#N/A</v>
      </c>
      <c r="F212" s="294">
        <v>0</v>
      </c>
      <c r="G212" s="746">
        <f>IF(F212&lt;0,"Error: Enter as positive.",)</f>
        <v>0</v>
      </c>
      <c r="H212" s="17"/>
      <c r="I212" s="79"/>
      <c r="J212" s="591"/>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x14ac:dyDescent="0.3">
      <c r="A213" s="108"/>
      <c r="B213" s="880" t="s">
        <v>807</v>
      </c>
      <c r="C213" s="881"/>
      <c r="D213" s="883"/>
      <c r="E213" s="890"/>
      <c r="F213" s="889"/>
      <c r="G213" s="875"/>
      <c r="H213" s="747"/>
      <c r="I213" s="748"/>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customHeight="1" x14ac:dyDescent="0.3">
      <c r="A214" s="309">
        <v>656</v>
      </c>
      <c r="B214" s="309"/>
      <c r="C214" s="309"/>
      <c r="D214" s="771" t="s">
        <v>808</v>
      </c>
      <c r="E214" s="685" t="e">
        <f>HLOOKUP($D$2,'2020 Data(H)'!$C$1:$CR$393,309,FALSE)</f>
        <v>#N/A</v>
      </c>
      <c r="F214" s="294">
        <v>0</v>
      </c>
      <c r="G214" s="746"/>
      <c r="H214" s="17"/>
      <c r="I214" s="79"/>
      <c r="J214" s="591"/>
      <c r="Z214" s="309"/>
      <c r="AA214" s="309"/>
      <c r="AB214" s="309"/>
      <c r="AC214" s="309"/>
      <c r="AD214" s="309"/>
      <c r="AE214" s="309"/>
      <c r="AF214" s="309"/>
      <c r="AG214" s="309"/>
      <c r="AH214" s="309"/>
      <c r="AI214" s="309"/>
      <c r="AJ214" s="309"/>
      <c r="AK214" s="309"/>
      <c r="AL214" s="309"/>
      <c r="AM214" s="309"/>
      <c r="AN214" s="309"/>
      <c r="AO214" s="309"/>
      <c r="AP214" s="309"/>
      <c r="AQ214" s="309"/>
      <c r="AR214" s="309"/>
    </row>
    <row r="215" spans="1:44" x14ac:dyDescent="0.3">
      <c r="A215" s="108"/>
      <c r="B215" s="880" t="s">
        <v>529</v>
      </c>
      <c r="C215" s="881"/>
      <c r="D215" s="883"/>
      <c r="E215" s="890"/>
      <c r="F215" s="889"/>
      <c r="G215" s="875"/>
      <c r="H215" s="747"/>
      <c r="I215" s="748"/>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customHeight="1" x14ac:dyDescent="0.3">
      <c r="A216" s="108">
        <v>535</v>
      </c>
      <c r="B216" s="687" t="s">
        <v>55</v>
      </c>
      <c r="C216" s="687" t="s">
        <v>166</v>
      </c>
      <c r="D216" s="24" t="s">
        <v>1505</v>
      </c>
      <c r="E216" s="685" t="e">
        <f>HLOOKUP($D$2,'2020 Data(H)'!$C$1:$CR$393,185,FALSE)</f>
        <v>#N/A</v>
      </c>
      <c r="F216" s="294">
        <v>0</v>
      </c>
      <c r="G216" s="746" t="str">
        <f>IF(F216&lt;1,"Reminder: Please make sure you have entered all cash and investments from bond/Debt proceeds, if applicable.",)</f>
        <v>Reminder: Please make sure you have entered all cash and investments from bond/Debt proceeds, if applicable.</v>
      </c>
      <c r="H216" s="747"/>
      <c r="I216" s="748"/>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x14ac:dyDescent="0.3">
      <c r="A217" s="108"/>
      <c r="B217" s="880" t="s">
        <v>29</v>
      </c>
      <c r="C217" s="881"/>
      <c r="D217" s="857"/>
      <c r="E217" s="857"/>
      <c r="F217" s="886"/>
      <c r="G217" s="877"/>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x14ac:dyDescent="0.3">
      <c r="A218" s="108"/>
      <c r="B218" s="575"/>
      <c r="C218" s="575"/>
      <c r="D218" s="772" t="s">
        <v>2</v>
      </c>
      <c r="E218" s="1"/>
      <c r="F218" s="164"/>
      <c r="G218" s="756"/>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customHeight="1" x14ac:dyDescent="0.3">
      <c r="A219" s="108"/>
      <c r="B219" s="575"/>
      <c r="C219" s="575"/>
      <c r="D219" s="686" t="s">
        <v>1506</v>
      </c>
      <c r="E219" s="1"/>
      <c r="F219" s="164"/>
      <c r="G219" s="756"/>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customHeight="1" x14ac:dyDescent="0.3">
      <c r="A220" s="108">
        <v>334</v>
      </c>
      <c r="B220" s="4" t="s">
        <v>56</v>
      </c>
      <c r="C220" s="4" t="s">
        <v>173</v>
      </c>
      <c r="D220" s="24" t="s">
        <v>1507</v>
      </c>
      <c r="E220" s="685" t="e">
        <f>HLOOKUP($D$2,'2020 Data(H)'!$C$1:$CR$393,100,FALSE)</f>
        <v>#N/A</v>
      </c>
      <c r="F220" s="294">
        <v>0</v>
      </c>
      <c r="G220" s="756"/>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customHeight="1" x14ac:dyDescent="0.3">
      <c r="A221" s="108">
        <v>373</v>
      </c>
      <c r="B221" s="4" t="s">
        <v>56</v>
      </c>
      <c r="C221" s="4" t="s">
        <v>173</v>
      </c>
      <c r="D221" s="29" t="s">
        <v>172</v>
      </c>
      <c r="E221" s="685" t="e">
        <f>HLOOKUP($D$2,'2020 Data(H)'!$C$1:$CR$393,133,FALSE)</f>
        <v>#N/A</v>
      </c>
      <c r="F221" s="294">
        <v>0</v>
      </c>
      <c r="G221" s="746">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customHeight="1" x14ac:dyDescent="0.3">
      <c r="A222" s="108">
        <v>987</v>
      </c>
      <c r="B222" s="844" t="s">
        <v>1041</v>
      </c>
      <c r="C222" s="844"/>
      <c r="D222" s="773" t="s">
        <v>1308</v>
      </c>
      <c r="E222" s="685" t="s">
        <v>1042</v>
      </c>
      <c r="F222" s="294">
        <v>0</v>
      </c>
      <c r="G222" s="774" t="str">
        <f>IF(F222="","If this question is not applicable please place a zero in the cell to the left","")</f>
        <v/>
      </c>
      <c r="H222" s="725"/>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customHeight="1" x14ac:dyDescent="0.3">
      <c r="A223" s="108">
        <v>988</v>
      </c>
      <c r="B223" s="844" t="s">
        <v>1041</v>
      </c>
      <c r="C223" s="844"/>
      <c r="D223" s="773" t="s">
        <v>1305</v>
      </c>
      <c r="E223" s="685" t="s">
        <v>1042</v>
      </c>
      <c r="F223" s="294"/>
      <c r="G223" s="746"/>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customHeight="1" x14ac:dyDescent="0.3">
      <c r="A224" s="108">
        <v>989</v>
      </c>
      <c r="B224" s="844" t="s">
        <v>1041</v>
      </c>
      <c r="C224" s="844"/>
      <c r="D224" s="773" t="s">
        <v>1562</v>
      </c>
      <c r="E224" s="685" t="s">
        <v>1071</v>
      </c>
      <c r="F224" s="294"/>
      <c r="G224" s="746"/>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x14ac:dyDescent="0.3">
      <c r="A225" s="108"/>
      <c r="B225" s="891"/>
      <c r="C225" s="891"/>
      <c r="D225" s="892"/>
      <c r="E225" s="893"/>
      <c r="F225" s="894"/>
      <c r="G225" s="895"/>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customHeight="1" x14ac:dyDescent="0.3">
      <c r="A226" s="108"/>
      <c r="B226" s="575"/>
      <c r="C226" s="575"/>
      <c r="D226" s="775" t="s">
        <v>1508</v>
      </c>
      <c r="E226" s="1"/>
      <c r="F226" s="377"/>
      <c r="G226" s="756"/>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customHeight="1" x14ac:dyDescent="0.3">
      <c r="A227" s="108"/>
      <c r="B227" s="575"/>
      <c r="C227" s="575"/>
      <c r="D227" s="24" t="s">
        <v>1509</v>
      </c>
      <c r="E227" s="1"/>
      <c r="F227" s="377"/>
      <c r="G227" s="756"/>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customHeight="1" x14ac:dyDescent="0.3">
      <c r="A228" s="108">
        <v>327</v>
      </c>
      <c r="B228" s="687" t="s">
        <v>37</v>
      </c>
      <c r="C228" s="687" t="s">
        <v>174</v>
      </c>
      <c r="D228" s="776" t="s">
        <v>1510</v>
      </c>
      <c r="E228" s="685" t="e">
        <f>HLOOKUP($D$2,'2020 Data(H)'!$C$1:$CR$393,94,FALSE)</f>
        <v>#N/A</v>
      </c>
      <c r="F228" s="274">
        <v>0</v>
      </c>
      <c r="G228" s="756"/>
      <c r="H228" s="17"/>
      <c r="I228" s="748"/>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customHeight="1" x14ac:dyDescent="0.3">
      <c r="A229" s="108">
        <v>328</v>
      </c>
      <c r="B229" s="687" t="s">
        <v>37</v>
      </c>
      <c r="C229" s="687" t="s">
        <v>174</v>
      </c>
      <c r="D229" s="30" t="s">
        <v>7</v>
      </c>
      <c r="E229" s="685" t="e">
        <f>HLOOKUP($D$2,'2020 Data(H)'!$C$1:$CR$393,95,FALSE)</f>
        <v>#N/A</v>
      </c>
      <c r="F229" s="274">
        <v>0</v>
      </c>
      <c r="G229" s="756"/>
      <c r="H229" s="17"/>
      <c r="I229" s="748"/>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customHeight="1" x14ac:dyDescent="0.3">
      <c r="A230" s="108"/>
      <c r="B230" s="575"/>
      <c r="C230" s="575"/>
      <c r="D230" s="31" t="s">
        <v>1511</v>
      </c>
      <c r="E230" s="101" t="e">
        <f>SUM(E228:E229)</f>
        <v>#N/A</v>
      </c>
      <c r="F230" s="101">
        <f>SUM(F228:F229)</f>
        <v>0</v>
      </c>
      <c r="G230" s="756"/>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x14ac:dyDescent="0.3">
      <c r="A231" s="108"/>
      <c r="B231" s="575"/>
      <c r="C231" s="575"/>
      <c r="D231" s="24" t="s">
        <v>1512</v>
      </c>
      <c r="E231" s="1"/>
      <c r="F231" s="377"/>
      <c r="G231" s="756"/>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customHeight="1" x14ac:dyDescent="0.3">
      <c r="A232" s="108"/>
      <c r="B232" s="575"/>
      <c r="C232" s="575"/>
      <c r="D232" s="28" t="s">
        <v>9</v>
      </c>
      <c r="F232" s="777"/>
      <c r="G232" s="756"/>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customHeight="1" x14ac:dyDescent="0.3">
      <c r="A233" s="108">
        <v>515</v>
      </c>
      <c r="B233" s="687" t="s">
        <v>525</v>
      </c>
      <c r="C233" s="687" t="s">
        <v>175</v>
      </c>
      <c r="D233" s="32" t="s">
        <v>3</v>
      </c>
      <c r="E233" s="685" t="e">
        <f>HLOOKUP($D$2,'2020 Data(H)'!$C$1:$CR$393,165,FALSE)</f>
        <v>#N/A</v>
      </c>
      <c r="F233" s="294">
        <v>0</v>
      </c>
      <c r="G233" s="746"/>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customHeight="1" x14ac:dyDescent="0.3">
      <c r="A234" s="108">
        <v>516</v>
      </c>
      <c r="B234" s="687" t="s">
        <v>525</v>
      </c>
      <c r="C234" s="687" t="s">
        <v>175</v>
      </c>
      <c r="D234" s="32" t="s">
        <v>4</v>
      </c>
      <c r="E234" s="685" t="e">
        <f>HLOOKUP($D$2,'2020 Data(H)'!$C$1:$CR$393,166,FALSE)</f>
        <v>#N/A</v>
      </c>
      <c r="F234" s="294">
        <v>0</v>
      </c>
      <c r="G234" s="746"/>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customHeight="1" x14ac:dyDescent="0.3">
      <c r="A235" s="108">
        <v>517</v>
      </c>
      <c r="B235" s="687" t="s">
        <v>525</v>
      </c>
      <c r="C235" s="687" t="s">
        <v>175</v>
      </c>
      <c r="D235" s="32" t="s">
        <v>5</v>
      </c>
      <c r="E235" s="685" t="e">
        <f>HLOOKUP($D$2,'2020 Data(H)'!$C$1:$CR$393,167,FALSE)</f>
        <v>#N/A</v>
      </c>
      <c r="F235" s="294">
        <v>0</v>
      </c>
      <c r="G235" s="746"/>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customHeight="1" x14ac:dyDescent="0.3">
      <c r="A236" s="108">
        <v>518</v>
      </c>
      <c r="B236" s="687" t="s">
        <v>525</v>
      </c>
      <c r="C236" s="687" t="s">
        <v>175</v>
      </c>
      <c r="D236" s="32" t="s">
        <v>39</v>
      </c>
      <c r="E236" s="685" t="e">
        <f>HLOOKUP($D$2,'2020 Data(H)'!$C$1:$CR$393,168,FALSE)</f>
        <v>#N/A</v>
      </c>
      <c r="F236" s="294">
        <v>0</v>
      </c>
      <c r="G236" s="746"/>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customHeight="1" x14ac:dyDescent="0.3">
      <c r="A237" s="298"/>
      <c r="B237" s="575"/>
      <c r="C237" s="575"/>
      <c r="D237" s="778" t="s">
        <v>1513</v>
      </c>
      <c r="E237" s="101" t="e">
        <f>SUM(E233:E236)</f>
        <v>#N/A</v>
      </c>
      <c r="F237" s="101">
        <f>SUM(F233:F236)</f>
        <v>0</v>
      </c>
      <c r="G237" s="756"/>
      <c r="H237" s="17"/>
      <c r="I237" s="79"/>
      <c r="Z237" s="298"/>
      <c r="AA237" s="298"/>
      <c r="AB237" s="298"/>
      <c r="AC237" s="298"/>
      <c r="AD237" s="298"/>
      <c r="AE237" s="298"/>
      <c r="AF237" s="298"/>
      <c r="AG237" s="298"/>
      <c r="AH237" s="298"/>
      <c r="AI237" s="298"/>
      <c r="AJ237" s="298"/>
      <c r="AK237" s="298"/>
      <c r="AL237" s="298"/>
      <c r="AM237" s="298"/>
      <c r="AN237" s="298"/>
      <c r="AO237" s="298"/>
      <c r="AP237" s="298"/>
      <c r="AQ237" s="298"/>
      <c r="AR237" s="298"/>
    </row>
    <row r="238" spans="1:44" ht="30.75" customHeight="1" x14ac:dyDescent="0.3">
      <c r="A238" s="108"/>
      <c r="B238" s="575"/>
      <c r="C238" s="575"/>
      <c r="D238" s="28" t="s">
        <v>48</v>
      </c>
      <c r="E238" s="1"/>
      <c r="F238" s="377"/>
      <c r="G238" s="756"/>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customHeight="1" x14ac:dyDescent="0.3">
      <c r="A239" s="108">
        <v>519</v>
      </c>
      <c r="B239" s="687" t="s">
        <v>37</v>
      </c>
      <c r="C239" s="687" t="s">
        <v>176</v>
      </c>
      <c r="D239" s="32" t="s">
        <v>14</v>
      </c>
      <c r="E239" s="685" t="e">
        <f>HLOOKUP($D$2,'2020 Data(H)'!$C$1:$CR$393,169,FALSE)</f>
        <v>#N/A</v>
      </c>
      <c r="F239" s="294">
        <v>0</v>
      </c>
      <c r="G239" s="746">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customHeight="1" x14ac:dyDescent="0.3">
      <c r="A240" s="108">
        <v>520</v>
      </c>
      <c r="B240" s="687" t="s">
        <v>37</v>
      </c>
      <c r="C240" s="687" t="s">
        <v>176</v>
      </c>
      <c r="D240" s="32" t="s">
        <v>16</v>
      </c>
      <c r="E240" s="685" t="e">
        <f>HLOOKUP($D$2,'2020 Data(H)'!$C$1:$CR$393,170,FALSE)</f>
        <v>#N/A</v>
      </c>
      <c r="F240" s="294">
        <v>0</v>
      </c>
      <c r="G240" s="746">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customHeight="1" x14ac:dyDescent="0.3">
      <c r="A241" s="108">
        <v>521</v>
      </c>
      <c r="B241" s="687" t="s">
        <v>37</v>
      </c>
      <c r="C241" s="687" t="s">
        <v>176</v>
      </c>
      <c r="D241" s="32" t="s">
        <v>18</v>
      </c>
      <c r="E241" s="685" t="e">
        <f>HLOOKUP($D$2,'2020 Data(H)'!$C$1:$CR$393,171,FALSE)</f>
        <v>#N/A</v>
      </c>
      <c r="F241" s="294">
        <v>0</v>
      </c>
      <c r="G241" s="746">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customHeight="1" x14ac:dyDescent="0.3">
      <c r="A242" s="108">
        <v>522</v>
      </c>
      <c r="B242" s="687" t="s">
        <v>37</v>
      </c>
      <c r="C242" s="687" t="s">
        <v>176</v>
      </c>
      <c r="D242" s="32" t="s">
        <v>40</v>
      </c>
      <c r="E242" s="685" t="e">
        <f>HLOOKUP($D$2,'2020 Data(H)'!$C$1:$CR$393,172,FALSE)</f>
        <v>#N/A</v>
      </c>
      <c r="F242" s="294">
        <v>0</v>
      </c>
      <c r="G242" s="746">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customHeight="1" x14ac:dyDescent="0.3">
      <c r="A243" s="6"/>
      <c r="B243" s="575"/>
      <c r="C243" s="575"/>
      <c r="D243" s="779"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75"/>
      <c r="C244" s="575"/>
      <c r="D244" s="28" t="s">
        <v>32</v>
      </c>
      <c r="E244" s="6"/>
      <c r="F244" s="780"/>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8">
        <v>523</v>
      </c>
      <c r="B245" s="687" t="s">
        <v>525</v>
      </c>
      <c r="C245" s="687" t="s">
        <v>177</v>
      </c>
      <c r="D245" s="32" t="s">
        <v>15</v>
      </c>
      <c r="E245" s="685" t="e">
        <f>HLOOKUP($D$2,'2020 Data(H)'!$C$1:$CR$393,173,FALSE)</f>
        <v>#N/A</v>
      </c>
      <c r="F245" s="294">
        <v>0</v>
      </c>
      <c r="G245" s="746">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customHeight="1" x14ac:dyDescent="0.3">
      <c r="A246" s="108">
        <v>524</v>
      </c>
      <c r="B246" s="687" t="s">
        <v>525</v>
      </c>
      <c r="C246" s="687" t="s">
        <v>177</v>
      </c>
      <c r="D246" s="32" t="s">
        <v>17</v>
      </c>
      <c r="E246" s="685" t="e">
        <f>HLOOKUP($D$2,'2020 Data(H)'!$C$1:$CR$393,174,FALSE)</f>
        <v>#N/A</v>
      </c>
      <c r="F246" s="294">
        <v>0</v>
      </c>
      <c r="G246" s="746">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customHeight="1" x14ac:dyDescent="0.3">
      <c r="A247" s="108">
        <v>525</v>
      </c>
      <c r="B247" s="687" t="s">
        <v>525</v>
      </c>
      <c r="C247" s="687" t="s">
        <v>177</v>
      </c>
      <c r="D247" s="32" t="s">
        <v>19</v>
      </c>
      <c r="E247" s="685" t="e">
        <f>HLOOKUP($D$2,'2020 Data(H)'!$C$1:$CR$393,175,FALSE)</f>
        <v>#N/A</v>
      </c>
      <c r="F247" s="294">
        <v>0</v>
      </c>
      <c r="G247" s="746">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customHeight="1" x14ac:dyDescent="0.3">
      <c r="A248" s="108">
        <v>526</v>
      </c>
      <c r="B248" s="687" t="s">
        <v>525</v>
      </c>
      <c r="C248" s="687" t="s">
        <v>177</v>
      </c>
      <c r="D248" s="32" t="s">
        <v>41</v>
      </c>
      <c r="E248" s="685" t="e">
        <f>HLOOKUP($D$2,'2020 Data(H)'!$C$1:$CR$393,176,FALSE)</f>
        <v>#N/A</v>
      </c>
      <c r="F248" s="294">
        <v>0</v>
      </c>
      <c r="G248" s="746">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customHeight="1" x14ac:dyDescent="0.3">
      <c r="A249" s="108"/>
      <c r="B249" s="846"/>
      <c r="C249" s="846"/>
      <c r="D249" s="779" t="s">
        <v>33</v>
      </c>
      <c r="E249" s="101" t="e">
        <f>SUM(E245:E248)</f>
        <v>#N/A</v>
      </c>
      <c r="F249" s="101">
        <f>SUM(F245:F248)</f>
        <v>0</v>
      </c>
      <c r="G249" s="756"/>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customHeight="1" x14ac:dyDescent="0.3">
      <c r="A250" s="108"/>
      <c r="B250" s="846"/>
      <c r="C250" s="846"/>
      <c r="D250" s="781" t="s">
        <v>35</v>
      </c>
      <c r="E250" s="101" t="e">
        <f>E230+E237-E249</f>
        <v>#N/A</v>
      </c>
      <c r="F250" s="101">
        <f>F230+F237-F249</f>
        <v>0</v>
      </c>
      <c r="G250" s="756"/>
      <c r="H250" s="17"/>
      <c r="I250" s="79"/>
      <c r="J250" s="591"/>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customHeight="1" x14ac:dyDescent="0.3">
      <c r="A251" s="108"/>
      <c r="B251" s="575"/>
      <c r="C251" s="575"/>
      <c r="D251" s="772"/>
      <c r="E251" s="1"/>
      <c r="F251" s="377"/>
      <c r="G251" s="756"/>
      <c r="H251" s="17"/>
      <c r="I251" s="79"/>
      <c r="J251" s="591"/>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customHeight="1" x14ac:dyDescent="0.3">
      <c r="A252" s="108"/>
      <c r="B252" s="891"/>
      <c r="C252" s="891"/>
      <c r="D252" s="882" t="s">
        <v>8</v>
      </c>
      <c r="E252" s="893"/>
      <c r="F252" s="894"/>
      <c r="G252" s="895"/>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customHeight="1" x14ac:dyDescent="0.3">
      <c r="A253" s="108">
        <v>527</v>
      </c>
      <c r="B253" s="687" t="s">
        <v>58</v>
      </c>
      <c r="C253" s="687" t="s">
        <v>178</v>
      </c>
      <c r="D253" s="29" t="s">
        <v>1514</v>
      </c>
      <c r="E253" s="685" t="e">
        <f>HLOOKUP($D$2,'2020 Data(H)'!$C$1:$CR$393,177,FALSE)</f>
        <v>#N/A</v>
      </c>
      <c r="F253" s="294">
        <v>0</v>
      </c>
      <c r="G253" s="756"/>
      <c r="H253" s="17"/>
      <c r="I253" s="748"/>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customHeight="1" x14ac:dyDescent="0.3">
      <c r="A254" s="108">
        <v>356</v>
      </c>
      <c r="B254" s="687" t="s">
        <v>66</v>
      </c>
      <c r="C254" s="687" t="s">
        <v>178</v>
      </c>
      <c r="D254" s="107" t="s">
        <v>20</v>
      </c>
      <c r="E254" s="685" t="e">
        <f>HLOOKUP($D$2,'2020 Data(H)'!$C$1:$CR$393,118,FALSE)</f>
        <v>#N/A</v>
      </c>
      <c r="F254" s="294">
        <v>0</v>
      </c>
      <c r="G254" s="756"/>
      <c r="H254" s="17"/>
      <c r="I254" s="748"/>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customHeight="1" x14ac:dyDescent="0.3">
      <c r="A255" s="108">
        <v>357</v>
      </c>
      <c r="B255" s="687" t="s">
        <v>56</v>
      </c>
      <c r="C255" s="687" t="s">
        <v>179</v>
      </c>
      <c r="D255" s="107" t="s">
        <v>21</v>
      </c>
      <c r="E255" s="685" t="e">
        <f>HLOOKUP($D$2,'2020 Data(H)'!$C$1:$CR$393,119,FALSE)</f>
        <v>#N/A</v>
      </c>
      <c r="F255" s="294">
        <v>0</v>
      </c>
      <c r="G255" s="746">
        <f>IF(F255&lt;0,"Error: Enter as positive.",)</f>
        <v>0</v>
      </c>
      <c r="H255" s="17"/>
      <c r="I255" s="748"/>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customHeight="1" x14ac:dyDescent="0.3">
      <c r="A256" s="108"/>
      <c r="B256" s="880" t="s">
        <v>10</v>
      </c>
      <c r="C256" s="881"/>
      <c r="D256" s="856"/>
      <c r="E256" s="857"/>
      <c r="F256" s="896"/>
      <c r="G256" s="877"/>
      <c r="H256" s="17"/>
      <c r="I256" s="79"/>
      <c r="N256" s="296"/>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customHeight="1" x14ac:dyDescent="0.3">
      <c r="A257" s="108">
        <v>337</v>
      </c>
      <c r="B257" s="4" t="s">
        <v>56</v>
      </c>
      <c r="C257" s="4" t="s">
        <v>1515</v>
      </c>
      <c r="D257" s="24" t="s">
        <v>1310</v>
      </c>
      <c r="E257" s="685" t="e">
        <f>HLOOKUP($D$2,'2020 Data(H)'!$C$1:$CR$393,103,FALSE)</f>
        <v>#N/A</v>
      </c>
      <c r="F257" s="294">
        <v>0</v>
      </c>
      <c r="G257" s="746">
        <f>IF(F257&lt;0,"Error: Enter as positive.",)</f>
        <v>0</v>
      </c>
      <c r="H257" s="17"/>
      <c r="I257" s="79"/>
      <c r="N257" s="296"/>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customHeight="1" x14ac:dyDescent="0.3">
      <c r="A258" s="108">
        <v>343</v>
      </c>
      <c r="B258" s="4" t="s">
        <v>56</v>
      </c>
      <c r="C258" s="4" t="s">
        <v>676</v>
      </c>
      <c r="D258" s="29" t="s">
        <v>1516</v>
      </c>
      <c r="E258" s="685" t="e">
        <f>HLOOKUP($D$2,'2020 Data(H)'!$C$1:$CR$393,109,FALSE)</f>
        <v>#N/A</v>
      </c>
      <c r="F258" s="294">
        <v>0</v>
      </c>
      <c r="G258" s="746">
        <f>IF(F258&lt;0,"Error: Enter as positive.",)</f>
        <v>0</v>
      </c>
      <c r="H258" s="17"/>
      <c r="I258" s="79"/>
      <c r="M258" s="98"/>
      <c r="N258" s="296"/>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customHeight="1" x14ac:dyDescent="0.3">
      <c r="A259" s="108">
        <v>82</v>
      </c>
      <c r="B259" s="4" t="s">
        <v>61</v>
      </c>
      <c r="C259" s="4" t="s">
        <v>1517</v>
      </c>
      <c r="D259" s="24" t="s">
        <v>854</v>
      </c>
      <c r="E259" s="685" t="e">
        <f>HLOOKUP($D$2,'2020 Data(H)'!$C$1:$CR$393,46,FALSE)</f>
        <v>#N/A</v>
      </c>
      <c r="F259" s="294">
        <v>0</v>
      </c>
      <c r="G259" s="746">
        <f>IF(F259&lt;0,"Error: Enter as positive.",)</f>
        <v>0</v>
      </c>
      <c r="H259" s="17"/>
      <c r="I259" s="782"/>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customHeight="1" x14ac:dyDescent="0.3">
      <c r="A260" s="108">
        <v>359</v>
      </c>
      <c r="B260" s="4" t="s">
        <v>56</v>
      </c>
      <c r="C260" s="4" t="s">
        <v>1518</v>
      </c>
      <c r="D260" s="24" t="s">
        <v>854</v>
      </c>
      <c r="E260" s="685" t="e">
        <f>HLOOKUP($D$2,'2020 Data(H)'!$C$1:$CR$393,120,FALSE)</f>
        <v>#N/A</v>
      </c>
      <c r="F260" s="294">
        <v>0</v>
      </c>
      <c r="G260" s="746">
        <f>IF(F260&lt;0,"Error: Enter as positive.",)</f>
        <v>0</v>
      </c>
      <c r="H260" s="17"/>
      <c r="I260" s="782"/>
      <c r="J260" s="591"/>
      <c r="L260" s="783"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85" customFormat="1" ht="33" customHeight="1" x14ac:dyDescent="0.3">
      <c r="A261" s="108"/>
      <c r="B261" s="842" t="s">
        <v>710</v>
      </c>
      <c r="C261" s="843"/>
      <c r="D261" s="96"/>
      <c r="E261" s="784"/>
      <c r="F261" s="770"/>
      <c r="G261" s="745"/>
      <c r="H261" s="17"/>
      <c r="I261" s="782"/>
      <c r="J261" s="18"/>
      <c r="K261" s="18"/>
      <c r="L261" s="18"/>
      <c r="M261" s="18"/>
      <c r="N261" s="296"/>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85" customFormat="1" ht="110.25" customHeight="1" x14ac:dyDescent="0.3">
      <c r="A262" s="124">
        <v>622</v>
      </c>
      <c r="B262" s="786" t="s">
        <v>606</v>
      </c>
      <c r="C262" s="124" t="s">
        <v>709</v>
      </c>
      <c r="D262" s="124" t="s">
        <v>1411</v>
      </c>
      <c r="E262" s="685" t="e">
        <f>HLOOKUP($D$2,'2020 Data(H)'!$C$1:$CR$393,282,FALSE)</f>
        <v>#N/A</v>
      </c>
      <c r="F262" s="294">
        <v>0</v>
      </c>
      <c r="G262" s="746"/>
      <c r="H262" s="17"/>
      <c r="I262" s="782"/>
      <c r="J262" s="18"/>
      <c r="K262" s="18"/>
      <c r="L262" s="18"/>
      <c r="M262" s="18"/>
      <c r="N262" s="296"/>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85" customFormat="1" ht="225" customHeight="1" x14ac:dyDescent="0.3">
      <c r="A263" s="108">
        <v>577</v>
      </c>
      <c r="B263" s="687"/>
      <c r="C263" s="687" t="s">
        <v>542</v>
      </c>
      <c r="D263" s="354" t="s">
        <v>673</v>
      </c>
      <c r="E263" s="1109"/>
      <c r="F263" s="294"/>
      <c r="G263" s="1111" t="str">
        <f>IF(F263="Yes","In this cell - Please include the name of the plan, a brief description of the benefit and the population group that received the benefits."," ")</f>
        <v xml:space="preserve"> </v>
      </c>
      <c r="H263" s="17"/>
      <c r="I263" s="782"/>
      <c r="J263" s="591"/>
      <c r="K263" s="18"/>
      <c r="L263" s="18"/>
      <c r="M263" s="18"/>
      <c r="N263" s="296"/>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85" customFormat="1" ht="30.75" customHeight="1" x14ac:dyDescent="0.3">
      <c r="A264" s="108"/>
      <c r="B264" s="842" t="s">
        <v>527</v>
      </c>
      <c r="C264" s="843"/>
      <c r="D264" s="96"/>
      <c r="E264" s="784"/>
      <c r="F264" s="787"/>
      <c r="G264" s="745"/>
      <c r="H264" s="17"/>
      <c r="I264" s="79"/>
      <c r="J264" s="18"/>
      <c r="K264" s="18"/>
      <c r="L264" s="18"/>
      <c r="M264" s="18"/>
      <c r="N264" s="296"/>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85" customFormat="1" ht="81.75" customHeight="1" x14ac:dyDescent="0.3">
      <c r="A265" s="108">
        <v>598</v>
      </c>
      <c r="B265" s="687" t="s">
        <v>59</v>
      </c>
      <c r="C265" s="687" t="s">
        <v>528</v>
      </c>
      <c r="D265" s="724" t="s">
        <v>677</v>
      </c>
      <c r="E265" s="685" t="e">
        <f>HLOOKUP($D$2,'2020 Data(H)'!$C$1:$CR$393,258,FALSE)</f>
        <v>#N/A</v>
      </c>
      <c r="F265" s="294">
        <v>0</v>
      </c>
      <c r="G265" s="746">
        <f>IF(F265&lt;0,"Error: Enter as positive.",)</f>
        <v>0</v>
      </c>
      <c r="H265" s="746"/>
      <c r="I265" s="782"/>
      <c r="J265" s="591"/>
      <c r="K265" s="18"/>
      <c r="L265" s="18"/>
      <c r="M265" s="18"/>
      <c r="N265" s="296"/>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85" customFormat="1" ht="53.25" customHeight="1" x14ac:dyDescent="0.3">
      <c r="A266" s="108">
        <v>599</v>
      </c>
      <c r="B266" s="687" t="s">
        <v>59</v>
      </c>
      <c r="C266" s="687" t="s">
        <v>528</v>
      </c>
      <c r="D266" s="29" t="s">
        <v>678</v>
      </c>
      <c r="E266" s="685" t="e">
        <f>HLOOKUP($D$2,'2020 Data(H)'!$C$1:$CR$393,259,FALSE)</f>
        <v>#N/A</v>
      </c>
      <c r="F266" s="294">
        <v>0</v>
      </c>
      <c r="G266" s="789" t="str">
        <f>IF(ISBLANK(F266),"Please do not leave blank","")</f>
        <v/>
      </c>
      <c r="H266" s="746">
        <f>IF(F266&lt;0,"Error: Enter as positive.",)</f>
        <v>0</v>
      </c>
      <c r="I266" s="79"/>
      <c r="J266" s="783"/>
      <c r="K266" s="18"/>
      <c r="L266" s="18"/>
      <c r="M266" s="18"/>
      <c r="N266" s="296"/>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85" customFormat="1" ht="78.75" customHeight="1" x14ac:dyDescent="0.3">
      <c r="A267" s="108">
        <v>602</v>
      </c>
      <c r="B267" s="687" t="s">
        <v>59</v>
      </c>
      <c r="C267" s="687" t="s">
        <v>528</v>
      </c>
      <c r="D267" s="107" t="s">
        <v>684</v>
      </c>
      <c r="E267" s="685" t="e">
        <f>HLOOKUP($D$2,'2020 Data(H)'!$C$1:$CR$393,262,FALSE)</f>
        <v>#N/A</v>
      </c>
      <c r="F267" s="294">
        <v>0</v>
      </c>
      <c r="G267" s="789" t="str">
        <f>IF(ISBLANK(F267),"Please do not leave blank","")</f>
        <v/>
      </c>
      <c r="H267" s="746">
        <f>IF(F267&lt;0,"Note: Number is normally positive.",)</f>
        <v>0</v>
      </c>
      <c r="I267" s="79"/>
      <c r="J267" s="591"/>
      <c r="K267" s="18"/>
      <c r="L267" s="18"/>
      <c r="M267" s="18"/>
      <c r="N267" s="296"/>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85" customFormat="1" ht="90" customHeight="1" x14ac:dyDescent="0.3">
      <c r="A268" s="108">
        <v>619</v>
      </c>
      <c r="B268" s="687" t="s">
        <v>59</v>
      </c>
      <c r="C268" s="687" t="s">
        <v>699</v>
      </c>
      <c r="D268" s="94" t="s">
        <v>705</v>
      </c>
      <c r="E268" s="35" t="e">
        <f>HLOOKUP($D$2,'2020 Data(H)'!$C$1:$CR$393,279,FALSE)</f>
        <v>#N/A</v>
      </c>
      <c r="F268" s="915">
        <v>0</v>
      </c>
      <c r="G268" s="789" t="str">
        <f>IF(ISBLANK(F268),"Please do not leave blank ",IF(F268=H268,"","Please review percentage"))</f>
        <v/>
      </c>
      <c r="H268" s="790">
        <f>ROUND(IFERROR((F267/F266)*100,0),1)</f>
        <v>0</v>
      </c>
      <c r="I268" s="296"/>
      <c r="J268" s="18"/>
      <c r="K268" s="18"/>
      <c r="L268" s="18"/>
      <c r="M268" s="18"/>
      <c r="N268" s="296"/>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80" t="s">
        <v>25</v>
      </c>
      <c r="C269" s="881"/>
      <c r="D269" s="883"/>
      <c r="E269" s="897"/>
      <c r="F269" s="898"/>
      <c r="G269" s="865"/>
      <c r="H269" s="17"/>
      <c r="I269" s="79"/>
      <c r="J269" s="591"/>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5">
        <v>621</v>
      </c>
      <c r="B270" s="125" t="s">
        <v>606</v>
      </c>
      <c r="C270" s="124" t="s">
        <v>711</v>
      </c>
      <c r="D270" s="124" t="s">
        <v>1412</v>
      </c>
      <c r="E270" s="685" t="e">
        <f>HLOOKUP($D$2,'2020 Data(H)'!$C$1:$CR$393,281,FALSE)</f>
        <v>#N/A</v>
      </c>
      <c r="F270" s="294">
        <v>0</v>
      </c>
      <c r="G270" s="789" t="s">
        <v>1413</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87"/>
      <c r="C271" s="687" t="s">
        <v>167</v>
      </c>
      <c r="D271" s="684" t="s">
        <v>531</v>
      </c>
      <c r="E271" s="685" t="e">
        <f>HLOOKUP($D$2,'2020 Data(H)'!$C$1:$CR$393,197,FALSE)</f>
        <v>#N/A</v>
      </c>
      <c r="F271" s="754"/>
      <c r="G271" s="788" t="str">
        <f>IF(F271&lt;1,"Please answer this question","")</f>
        <v>Please answer this question</v>
      </c>
      <c r="H271" s="747"/>
      <c r="I271" s="748"/>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09">
        <v>659</v>
      </c>
      <c r="B272" s="840" t="s">
        <v>59</v>
      </c>
      <c r="C272" s="840" t="s">
        <v>694</v>
      </c>
      <c r="D272" s="312" t="s">
        <v>1414</v>
      </c>
      <c r="E272" s="685" t="e">
        <f>HLOOKUP($D$2,'2020 Data(H)'!$C$1:$CR$393,312,FALSE)</f>
        <v>#N/A</v>
      </c>
      <c r="F272" s="295">
        <v>0</v>
      </c>
      <c r="G272" s="789" t="s">
        <v>1415</v>
      </c>
      <c r="H272" s="746">
        <f>IF(F269&lt;0,"Error: Enter as positive.",)</f>
        <v>0</v>
      </c>
      <c r="I272" s="376"/>
      <c r="N272" s="296"/>
      <c r="Z272" s="309"/>
      <c r="AA272" s="309"/>
      <c r="AB272" s="309"/>
      <c r="AC272" s="309"/>
      <c r="AD272" s="309"/>
      <c r="AE272" s="309"/>
      <c r="AF272" s="309"/>
      <c r="AG272" s="309"/>
      <c r="AH272" s="309"/>
      <c r="AI272" s="309"/>
      <c r="AJ272" s="309"/>
      <c r="AK272" s="309"/>
      <c r="AL272" s="309"/>
      <c r="AM272" s="309"/>
      <c r="AN272" s="309"/>
      <c r="AO272" s="309"/>
      <c r="AP272" s="309"/>
      <c r="AQ272" s="309"/>
      <c r="AR272" s="309"/>
    </row>
    <row r="273" spans="1:44" ht="65.25" customHeight="1" x14ac:dyDescent="0.3">
      <c r="A273" s="309">
        <v>660</v>
      </c>
      <c r="B273" s="840" t="s">
        <v>59</v>
      </c>
      <c r="C273" s="840" t="s">
        <v>694</v>
      </c>
      <c r="D273" s="312" t="s">
        <v>1416</v>
      </c>
      <c r="E273" s="685" t="e">
        <f>HLOOKUP($D$2,'2020 Data(H)'!$C$1:$CR$393,313,FALSE)</f>
        <v>#N/A</v>
      </c>
      <c r="F273" s="295">
        <v>0</v>
      </c>
      <c r="G273" s="789" t="str">
        <f>IF(ISBLANK(F273),"Please do not leave blank","")</f>
        <v/>
      </c>
      <c r="H273" s="746">
        <f>IF(F270&lt;0,"Note: Number is normally positive.",)</f>
        <v>0</v>
      </c>
      <c r="I273" s="17"/>
      <c r="Z273" s="309"/>
      <c r="AA273" s="309"/>
      <c r="AB273" s="309"/>
      <c r="AC273" s="309"/>
      <c r="AD273" s="309"/>
      <c r="AE273" s="309"/>
      <c r="AF273" s="309"/>
      <c r="AG273" s="309"/>
      <c r="AH273" s="309"/>
      <c r="AI273" s="309"/>
      <c r="AJ273" s="309"/>
      <c r="AK273" s="309"/>
      <c r="AL273" s="309"/>
      <c r="AM273" s="309"/>
      <c r="AN273" s="309"/>
      <c r="AO273" s="309"/>
      <c r="AP273" s="309"/>
      <c r="AQ273" s="309"/>
      <c r="AR273" s="309"/>
    </row>
    <row r="274" spans="1:44" ht="94.5" customHeight="1" x14ac:dyDescent="0.3">
      <c r="A274" s="309">
        <v>661</v>
      </c>
      <c r="B274" s="840" t="s">
        <v>59</v>
      </c>
      <c r="C274" s="840" t="s">
        <v>698</v>
      </c>
      <c r="D274" s="652" t="s">
        <v>1417</v>
      </c>
      <c r="E274" s="378" t="e">
        <f>HLOOKUP($D$2,'2020 Data(H)'!$C$1:$CR$393,314,FALSE)</f>
        <v>#N/A</v>
      </c>
      <c r="F274" s="273">
        <v>0</v>
      </c>
      <c r="G274" s="789" t="str">
        <f>IF(ISBLANK(F274),"Please do not leave blank ",IF(F274=H274,"","Please review percentage"))</f>
        <v/>
      </c>
      <c r="H274" s="790">
        <f>ROUND(IFERROR((F273/F272)*100,0),1)</f>
        <v>0</v>
      </c>
      <c r="I274" s="790"/>
      <c r="Z274" s="309"/>
      <c r="AA274" s="309"/>
      <c r="AB274" s="309"/>
      <c r="AC274" s="309"/>
      <c r="AD274" s="309"/>
      <c r="AE274" s="309"/>
      <c r="AF274" s="309"/>
      <c r="AG274" s="309"/>
      <c r="AH274" s="309"/>
      <c r="AI274" s="309"/>
      <c r="AJ274" s="309"/>
      <c r="AK274" s="309"/>
      <c r="AL274" s="309"/>
      <c r="AM274" s="309"/>
      <c r="AN274" s="309"/>
      <c r="AO274" s="309"/>
      <c r="AP274" s="309"/>
      <c r="AQ274" s="309"/>
      <c r="AR274" s="309"/>
    </row>
    <row r="275" spans="1:44" ht="111.75" customHeight="1" x14ac:dyDescent="0.3">
      <c r="A275" s="108"/>
      <c r="B275" s="687"/>
      <c r="C275" s="687"/>
      <c r="D275" s="27" t="s">
        <v>26</v>
      </c>
      <c r="E275" s="689"/>
      <c r="F275" s="692"/>
      <c r="G275" s="789"/>
      <c r="H275" s="790"/>
      <c r="I275" s="791"/>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customHeight="1" x14ac:dyDescent="0.3">
      <c r="A276" s="108"/>
      <c r="B276" s="880" t="s">
        <v>27</v>
      </c>
      <c r="C276" s="881"/>
      <c r="D276" s="883"/>
      <c r="E276" s="897"/>
      <c r="F276" s="897"/>
      <c r="G276" s="865"/>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customHeight="1" x14ac:dyDescent="0.3">
      <c r="A277" s="33">
        <v>371</v>
      </c>
      <c r="B277" s="4" t="s">
        <v>56</v>
      </c>
      <c r="C277" s="4" t="s">
        <v>168</v>
      </c>
      <c r="D277" s="24" t="s">
        <v>1519</v>
      </c>
      <c r="E277" s="685" t="e">
        <f>HLOOKUP($D$2,'2020 Data(H)'!$C$1:$CR$393,132,FALSE)</f>
        <v>#N/A</v>
      </c>
      <c r="F277" s="295">
        <v>0</v>
      </c>
      <c r="G277" s="746">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8">
        <v>513</v>
      </c>
      <c r="B278" s="838" t="s">
        <v>58</v>
      </c>
      <c r="C278" s="4" t="s">
        <v>168</v>
      </c>
      <c r="D278" s="24" t="s">
        <v>1520</v>
      </c>
      <c r="E278" s="685" t="e">
        <f>HLOOKUP($D$2,'2020 Data(H)'!$C$1:$CR$393,163,FALSE)</f>
        <v>#N/A</v>
      </c>
      <c r="F278" s="295">
        <v>0</v>
      </c>
      <c r="G278" s="746">
        <f>IF(F278&lt;0,"Error: Enter as positive.",)</f>
        <v>0</v>
      </c>
      <c r="H278" s="747"/>
      <c r="I278" s="748"/>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customHeight="1" x14ac:dyDescent="0.3">
      <c r="A279" s="108">
        <v>514</v>
      </c>
      <c r="B279" s="838" t="s">
        <v>58</v>
      </c>
      <c r="C279" s="4" t="s">
        <v>168</v>
      </c>
      <c r="D279" s="24" t="s">
        <v>1521</v>
      </c>
      <c r="E279" s="685" t="e">
        <f>HLOOKUP($D$2,'2020 Data(H)'!$C$1:$CR$393,164,FALSE)</f>
        <v>#N/A</v>
      </c>
      <c r="F279" s="295">
        <v>0</v>
      </c>
      <c r="G279" s="746">
        <f>IF(F279&lt;0,"Error: Enter as positive.",)</f>
        <v>0</v>
      </c>
      <c r="H279" s="17"/>
      <c r="I279" s="748"/>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customHeight="1" x14ac:dyDescent="0.3">
      <c r="A280" s="108">
        <v>990</v>
      </c>
      <c r="B280" s="847" t="s">
        <v>1034</v>
      </c>
      <c r="C280" s="844" t="s">
        <v>168</v>
      </c>
      <c r="D280" s="773" t="s">
        <v>1035</v>
      </c>
      <c r="E280" s="687" t="s">
        <v>1011</v>
      </c>
      <c r="F280" s="295">
        <v>0</v>
      </c>
      <c r="G280" s="746"/>
      <c r="H280" s="17"/>
      <c r="I280" s="748"/>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08"/>
      <c r="B281" s="880" t="s">
        <v>28</v>
      </c>
      <c r="C281" s="881"/>
      <c r="D281" s="883"/>
      <c r="E281" s="897"/>
      <c r="F281" s="865"/>
      <c r="G281" s="865"/>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08">
        <v>6</v>
      </c>
      <c r="B282" s="4" t="s">
        <v>55</v>
      </c>
      <c r="C282" s="4" t="s">
        <v>169</v>
      </c>
      <c r="D282" s="24" t="s">
        <v>1522</v>
      </c>
      <c r="E282" s="685" t="e">
        <f>HLOOKUP($D$2,'2020 Data(H)'!$C$1:$CR$393,5,FALSE)</f>
        <v>#N/A</v>
      </c>
      <c r="F282" s="295">
        <v>0</v>
      </c>
      <c r="G282" s="746">
        <f>IF(F282&lt;0,"Error: Enter as positive.",)</f>
        <v>0</v>
      </c>
      <c r="H282" s="17"/>
      <c r="I282" s="79"/>
      <c r="J282" s="591"/>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customHeight="1" x14ac:dyDescent="0.3">
      <c r="A283" s="108"/>
      <c r="B283" s="880" t="s">
        <v>180</v>
      </c>
      <c r="C283" s="881"/>
      <c r="D283" s="883"/>
      <c r="E283" s="899"/>
      <c r="F283" s="875"/>
      <c r="G283" s="875"/>
      <c r="H283" s="747"/>
      <c r="I283" s="748"/>
      <c r="J283" s="591"/>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customHeight="1" x14ac:dyDescent="0.3">
      <c r="A284" s="108">
        <v>541</v>
      </c>
      <c r="B284" s="687" t="s">
        <v>59</v>
      </c>
      <c r="C284" s="687" t="s">
        <v>1523</v>
      </c>
      <c r="D284" s="684" t="s">
        <v>1524</v>
      </c>
      <c r="E284" s="685" t="e">
        <f>HLOOKUP($D$2,'2020 Data(H)'!$C$1:$CR$393,191,FALSE)</f>
        <v>#N/A</v>
      </c>
      <c r="F284" s="295">
        <v>0</v>
      </c>
      <c r="G284" s="746"/>
      <c r="H284" s="747"/>
      <c r="I284" s="748"/>
      <c r="J284" s="591"/>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customHeight="1" x14ac:dyDescent="0.3">
      <c r="A285" s="108"/>
      <c r="B285" s="881" t="s">
        <v>50</v>
      </c>
      <c r="C285" s="881"/>
      <c r="D285" s="883"/>
      <c r="E285" s="899"/>
      <c r="F285" s="895"/>
      <c r="G285" s="895"/>
      <c r="H285" s="747"/>
      <c r="I285" s="748"/>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customHeight="1" x14ac:dyDescent="0.3">
      <c r="A286" s="108">
        <v>542</v>
      </c>
      <c r="B286" s="687" t="s">
        <v>59</v>
      </c>
      <c r="C286" s="848" t="s">
        <v>1525</v>
      </c>
      <c r="D286" s="29" t="s">
        <v>170</v>
      </c>
      <c r="E286" s="685" t="e">
        <f>HLOOKUP($D$2,'2020 Data(H)'!$C$1:$CR$393,192,FALSE)</f>
        <v>#N/A</v>
      </c>
      <c r="F286" s="295">
        <v>0</v>
      </c>
      <c r="G286" s="746"/>
      <c r="H286" s="747"/>
      <c r="I286" s="792"/>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customHeight="1" x14ac:dyDescent="0.3">
      <c r="A287" s="108"/>
      <c r="B287" s="880" t="s">
        <v>1526</v>
      </c>
      <c r="C287" s="880"/>
      <c r="D287" s="856"/>
      <c r="E287" s="857"/>
      <c r="F287" s="877"/>
      <c r="G287" s="877"/>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customHeight="1" x14ac:dyDescent="0.3">
      <c r="A288" s="108"/>
      <c r="B288" s="900" t="s">
        <v>12</v>
      </c>
      <c r="C288" s="900"/>
      <c r="D288" s="856"/>
      <c r="E288" s="857"/>
      <c r="F288" s="901"/>
      <c r="G288" s="877"/>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customHeight="1" x14ac:dyDescent="0.3">
      <c r="A289" s="34">
        <v>528</v>
      </c>
      <c r="B289" s="687" t="s">
        <v>55</v>
      </c>
      <c r="C289" s="4" t="s">
        <v>171</v>
      </c>
      <c r="D289" s="624" t="s">
        <v>1563</v>
      </c>
      <c r="E289" s="685" t="e">
        <f>HLOOKUP($D$2,'2020 Data(H)'!$C$1:$CR$393,178,FALSE)</f>
        <v>#N/A</v>
      </c>
      <c r="F289" s="295">
        <v>0</v>
      </c>
      <c r="G289" s="746">
        <f>IF(F289="","Error: Unit must enter this information if they levy taxes.",)</f>
        <v>0</v>
      </c>
      <c r="H289" s="793"/>
      <c r="I289" s="79"/>
      <c r="J289" s="794"/>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687" t="s">
        <v>55</v>
      </c>
      <c r="C290" s="4" t="s">
        <v>171</v>
      </c>
      <c r="D290" s="624" t="s">
        <v>1527</v>
      </c>
      <c r="E290" s="685" t="e">
        <f>HLOOKUP($D$2,'2020 Data(H)'!$C$1:$CR$393,179,FALSE)</f>
        <v>#N/A</v>
      </c>
      <c r="F290" s="295">
        <v>0</v>
      </c>
      <c r="G290" s="746">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687" t="s">
        <v>55</v>
      </c>
      <c r="C291" s="4" t="s">
        <v>171</v>
      </c>
      <c r="D291" s="849" t="s">
        <v>1528</v>
      </c>
      <c r="E291" s="685" t="e">
        <f>HLOOKUP($D$2,'2020 Data(H)'!$C$1:$CR$393,180,FALSE)</f>
        <v>#N/A</v>
      </c>
      <c r="F291" s="295">
        <v>0</v>
      </c>
      <c r="G291" s="746">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687" t="s">
        <v>55</v>
      </c>
      <c r="C292" s="4" t="s">
        <v>171</v>
      </c>
      <c r="D292" s="849" t="s">
        <v>1529</v>
      </c>
      <c r="E292" s="685" t="e">
        <f>HLOOKUP($D$2,'2020 Data(H)'!$C$1:$CR$393,181,FALSE)</f>
        <v>#N/A</v>
      </c>
      <c r="F292" s="295">
        <v>0</v>
      </c>
      <c r="G292" s="746">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8">
        <v>61</v>
      </c>
      <c r="B293" s="4" t="s">
        <v>59</v>
      </c>
      <c r="C293" s="4" t="s">
        <v>171</v>
      </c>
      <c r="D293" s="29" t="s">
        <v>1530</v>
      </c>
      <c r="E293" s="35" t="e">
        <f>HLOOKUP($D$2,'2020 Data(H)'!$C$1:$CR$393,43,FALSE)</f>
        <v>#N/A</v>
      </c>
      <c r="F293" s="282">
        <v>0</v>
      </c>
      <c r="G293" s="746" t="e">
        <f>IF(F293=H293," ","Please check values in account 528, 529, 530 and  531.")</f>
        <v>#DIV/0!</v>
      </c>
      <c r="H293" s="795"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customHeight="1" x14ac:dyDescent="0.3">
      <c r="A294" s="108">
        <v>102</v>
      </c>
      <c r="B294" s="4" t="s">
        <v>59</v>
      </c>
      <c r="C294" s="4" t="s">
        <v>171</v>
      </c>
      <c r="D294" s="60" t="s">
        <v>1531</v>
      </c>
      <c r="E294" s="35" t="e">
        <f>HLOOKUP($D$2,'2020 Data(H)'!$C$1:$CR$393,62,FALSE)</f>
        <v>#N/A</v>
      </c>
      <c r="F294" s="282">
        <v>0</v>
      </c>
      <c r="G294" s="746" t="e">
        <f>IF(F294=H294," ","Please check values in account 528 and 530.")</f>
        <v>#DIV/0!</v>
      </c>
      <c r="H294" s="795"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customHeight="1" x14ac:dyDescent="0.3">
      <c r="A295" s="108">
        <v>103</v>
      </c>
      <c r="B295" s="4" t="s">
        <v>59</v>
      </c>
      <c r="C295" s="4" t="s">
        <v>171</v>
      </c>
      <c r="D295" s="29" t="s">
        <v>1532</v>
      </c>
      <c r="E295" s="35" t="e">
        <f>HLOOKUP($D$2,'2020 Data(H)'!$C$1:$CR$393,63,FALSE)</f>
        <v>#N/A</v>
      </c>
      <c r="F295" s="282">
        <v>0</v>
      </c>
      <c r="G295" s="746" t="e">
        <f>IF(F295=H295," ","Please check values in account 529 and 531.")</f>
        <v>#DIV/0!</v>
      </c>
      <c r="H295" s="795" t="e">
        <f>ROUND((F290-F292)/F290*100,2)</f>
        <v>#DIV/0!</v>
      </c>
      <c r="I295" s="79"/>
      <c r="M295" s="18" t="s">
        <v>1012</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customHeight="1" x14ac:dyDescent="0.3">
      <c r="A296" s="108">
        <v>544</v>
      </c>
      <c r="B296" s="687" t="s">
        <v>59</v>
      </c>
      <c r="C296" s="687" t="s">
        <v>171</v>
      </c>
      <c r="D296" s="24" t="s">
        <v>1533</v>
      </c>
      <c r="E296" s="36" t="e">
        <f>HLOOKUP($D$2,'2020 Data(H)'!$C$1:$CR$393,194,FALSE)</f>
        <v>#N/A</v>
      </c>
      <c r="F296" s="367">
        <v>0</v>
      </c>
      <c r="G296" s="746"/>
      <c r="H296" s="17"/>
      <c r="I296" s="108"/>
      <c r="J296" s="850"/>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customHeight="1" x14ac:dyDescent="0.3">
      <c r="A297" s="108">
        <v>545</v>
      </c>
      <c r="B297" s="687" t="s">
        <v>59</v>
      </c>
      <c r="C297" s="687" t="s">
        <v>171</v>
      </c>
      <c r="D297" s="24" t="s">
        <v>1534</v>
      </c>
      <c r="E297" s="1110"/>
      <c r="F297" s="367">
        <v>0</v>
      </c>
      <c r="G297" s="746"/>
      <c r="H297" s="17"/>
      <c r="I297" s="137"/>
      <c r="J297" s="850"/>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customHeight="1" x14ac:dyDescent="0.3">
      <c r="A298" s="125">
        <v>624</v>
      </c>
      <c r="B298" s="124" t="s">
        <v>59</v>
      </c>
      <c r="C298" s="124"/>
      <c r="D298" s="124" t="s">
        <v>712</v>
      </c>
      <c r="E298" s="1110"/>
      <c r="F298" s="272"/>
      <c r="G298" s="788" t="str">
        <f>IF(+F298&lt;1,"Please answer this question","")</f>
        <v>Please answer this question</v>
      </c>
      <c r="H298" s="17"/>
      <c r="I298" s="108"/>
      <c r="J298" s="850"/>
      <c r="M298" s="18" t="s">
        <v>1013</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customHeight="1" x14ac:dyDescent="0.3">
      <c r="A299" s="688">
        <v>648</v>
      </c>
      <c r="B299" s="317" t="s">
        <v>1121</v>
      </c>
      <c r="C299" s="844" t="s">
        <v>171</v>
      </c>
      <c r="D299" s="317" t="s">
        <v>1396</v>
      </c>
      <c r="E299" s="687" t="s">
        <v>1011</v>
      </c>
      <c r="F299" s="367">
        <v>0</v>
      </c>
      <c r="G299" s="788"/>
      <c r="H299" s="17"/>
      <c r="I299" s="108"/>
      <c r="J299" s="850"/>
      <c r="Z299" s="688"/>
      <c r="AA299" s="688"/>
      <c r="AB299" s="688"/>
      <c r="AC299" s="688"/>
      <c r="AD299" s="688"/>
      <c r="AE299" s="688"/>
      <c r="AF299" s="688"/>
      <c r="AG299" s="688"/>
      <c r="AH299" s="688"/>
      <c r="AI299" s="688"/>
      <c r="AJ299" s="688"/>
      <c r="AK299" s="688"/>
      <c r="AL299" s="688"/>
      <c r="AM299" s="688"/>
      <c r="AN299" s="688"/>
      <c r="AO299" s="688"/>
      <c r="AP299" s="688"/>
      <c r="AQ299" s="688"/>
      <c r="AR299" s="688"/>
    </row>
    <row r="300" spans="1:44" ht="171" customHeight="1" x14ac:dyDescent="0.3">
      <c r="A300" s="688">
        <v>991</v>
      </c>
      <c r="B300" s="316" t="s">
        <v>1041</v>
      </c>
      <c r="C300" s="317"/>
      <c r="D300" s="796" t="s">
        <v>1324</v>
      </c>
      <c r="E300" s="687" t="s">
        <v>1011</v>
      </c>
      <c r="F300" s="272"/>
      <c r="G300" s="788"/>
      <c r="H300" s="797" t="s">
        <v>1037</v>
      </c>
      <c r="I300" s="254"/>
      <c r="J300" s="850"/>
      <c r="M300" s="18" t="s">
        <v>1038</v>
      </c>
      <c r="Z300" s="688"/>
      <c r="AA300" s="688"/>
      <c r="AB300" s="688"/>
      <c r="AC300" s="688"/>
      <c r="AD300" s="688"/>
      <c r="AE300" s="688"/>
      <c r="AF300" s="688"/>
      <c r="AG300" s="688"/>
      <c r="AH300" s="688"/>
      <c r="AI300" s="688"/>
      <c r="AJ300" s="688"/>
      <c r="AK300" s="688"/>
      <c r="AL300" s="688"/>
      <c r="AM300" s="688"/>
      <c r="AN300" s="688"/>
      <c r="AO300" s="688"/>
      <c r="AP300" s="688"/>
      <c r="AQ300" s="688"/>
      <c r="AR300" s="688"/>
    </row>
    <row r="301" spans="1:44" ht="27.75" customHeight="1" x14ac:dyDescent="0.3">
      <c r="A301" s="108"/>
      <c r="B301" s="880" t="s">
        <v>702</v>
      </c>
      <c r="C301" s="880"/>
      <c r="D301" s="880"/>
      <c r="E301" s="902"/>
      <c r="F301" s="902"/>
      <c r="G301" s="903"/>
      <c r="H301" s="17"/>
      <c r="I301" s="108"/>
      <c r="J301" s="850"/>
      <c r="M301" s="18" t="s">
        <v>1039</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687" t="s">
        <v>59</v>
      </c>
      <c r="C302" s="687"/>
      <c r="D302" s="24" t="s">
        <v>701</v>
      </c>
      <c r="E302" s="923"/>
      <c r="F302" s="272"/>
      <c r="G302" s="788" t="str">
        <f>IF(F302&lt;1,"Please answer this question","")</f>
        <v>Please answer this question</v>
      </c>
      <c r="H302" s="17"/>
      <c r="I302" s="108"/>
      <c r="J302" s="850"/>
      <c r="M302" s="18" t="s">
        <v>1040</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51"/>
      <c r="B303" s="1190" t="s">
        <v>862</v>
      </c>
      <c r="C303" s="1190"/>
      <c r="D303" s="1190"/>
      <c r="E303" s="916"/>
      <c r="F303" s="916"/>
      <c r="G303" s="916"/>
      <c r="H303" s="17"/>
      <c r="I303" s="108"/>
      <c r="J303" s="850"/>
      <c r="M303" s="18" t="s">
        <v>870</v>
      </c>
      <c r="Z303" s="851"/>
      <c r="AA303" s="851"/>
      <c r="AB303" s="851"/>
      <c r="AC303" s="851"/>
      <c r="AD303" s="851"/>
      <c r="AE303" s="851"/>
      <c r="AF303" s="851"/>
      <c r="AG303" s="851"/>
      <c r="AH303" s="851"/>
      <c r="AI303" s="851"/>
      <c r="AJ303" s="851"/>
      <c r="AK303" s="851"/>
      <c r="AL303" s="851"/>
      <c r="AM303" s="851"/>
      <c r="AN303" s="851"/>
      <c r="AO303" s="851"/>
      <c r="AP303" s="851"/>
      <c r="AQ303" s="851"/>
      <c r="AR303" s="851"/>
    </row>
    <row r="304" spans="1:44" ht="63" customHeight="1" x14ac:dyDescent="0.3">
      <c r="A304" s="309">
        <v>947</v>
      </c>
      <c r="B304" s="852"/>
      <c r="C304" s="852"/>
      <c r="D304" s="174" t="s">
        <v>816</v>
      </c>
      <c r="E304" s="690"/>
      <c r="F304" s="798"/>
      <c r="G304" s="788" t="str">
        <f>IF(ISBLANK(F304),"Please do not leave blank","")</f>
        <v>Please do not leave blank</v>
      </c>
      <c r="H304" s="17"/>
      <c r="I304" s="296"/>
      <c r="J304" s="725"/>
      <c r="K304" s="296"/>
      <c r="L304" s="296"/>
      <c r="M304" s="296"/>
      <c r="O304" s="296"/>
      <c r="Z304" s="309"/>
      <c r="AA304" s="309"/>
      <c r="AB304" s="309"/>
      <c r="AC304" s="309"/>
      <c r="AD304" s="309"/>
      <c r="AE304" s="309"/>
      <c r="AF304" s="309"/>
      <c r="AG304" s="309"/>
      <c r="AH304" s="309"/>
      <c r="AI304" s="309"/>
      <c r="AJ304" s="309"/>
      <c r="AK304" s="309"/>
      <c r="AL304" s="309"/>
      <c r="AM304" s="309"/>
      <c r="AN304" s="309"/>
      <c r="AO304" s="309"/>
      <c r="AP304" s="309"/>
      <c r="AQ304" s="309"/>
      <c r="AR304" s="309"/>
    </row>
    <row r="305" spans="1:44" ht="65.25" customHeight="1" x14ac:dyDescent="0.3">
      <c r="A305" s="309">
        <v>948</v>
      </c>
      <c r="B305" s="852"/>
      <c r="C305" s="852"/>
      <c r="D305" s="174" t="s">
        <v>817</v>
      </c>
      <c r="E305" s="690"/>
      <c r="F305" s="798"/>
      <c r="G305" s="788" t="str">
        <f t="shared" ref="G305:G311" si="3">IF(ISBLANK(F305),"Please do not leave blank","")</f>
        <v>Please do not leave blank</v>
      </c>
      <c r="H305" s="17"/>
      <c r="I305" s="296"/>
      <c r="J305" s="725"/>
      <c r="K305" s="296"/>
      <c r="L305" s="296"/>
      <c r="M305" s="296"/>
      <c r="O305" s="296"/>
      <c r="Z305" s="309"/>
      <c r="AA305" s="309"/>
      <c r="AB305" s="309"/>
      <c r="AC305" s="309"/>
      <c r="AD305" s="309"/>
      <c r="AE305" s="309"/>
      <c r="AF305" s="309"/>
      <c r="AG305" s="309"/>
      <c r="AH305" s="309"/>
      <c r="AI305" s="309"/>
      <c r="AJ305" s="309"/>
      <c r="AK305" s="309"/>
      <c r="AL305" s="309"/>
      <c r="AM305" s="309"/>
      <c r="AN305" s="309"/>
      <c r="AO305" s="309"/>
      <c r="AP305" s="309"/>
      <c r="AQ305" s="309"/>
      <c r="AR305" s="309"/>
    </row>
    <row r="306" spans="1:44" ht="76.5" customHeight="1" x14ac:dyDescent="0.3">
      <c r="A306" s="309">
        <v>949</v>
      </c>
      <c r="B306" s="852"/>
      <c r="C306" s="852"/>
      <c r="D306" s="174" t="s">
        <v>818</v>
      </c>
      <c r="E306" s="690"/>
      <c r="F306" s="798"/>
      <c r="G306" s="788" t="str">
        <f t="shared" si="3"/>
        <v>Please do not leave blank</v>
      </c>
      <c r="H306" s="17"/>
      <c r="I306" s="296"/>
      <c r="J306" s="725"/>
      <c r="K306" s="296"/>
      <c r="L306" s="296"/>
      <c r="M306" s="296"/>
      <c r="O306" s="296"/>
      <c r="Z306" s="309"/>
      <c r="AA306" s="309"/>
      <c r="AB306" s="309"/>
      <c r="AC306" s="309"/>
      <c r="AD306" s="309"/>
      <c r="AE306" s="309"/>
      <c r="AF306" s="309"/>
      <c r="AG306" s="309"/>
      <c r="AH306" s="309"/>
      <c r="AI306" s="309"/>
      <c r="AJ306" s="309"/>
      <c r="AK306" s="309"/>
      <c r="AL306" s="309"/>
      <c r="AM306" s="309"/>
      <c r="AN306" s="309"/>
      <c r="AO306" s="309"/>
      <c r="AP306" s="309"/>
      <c r="AQ306" s="309"/>
      <c r="AR306" s="309"/>
    </row>
    <row r="307" spans="1:44" ht="60" customHeight="1" x14ac:dyDescent="0.3">
      <c r="A307" s="309">
        <v>950</v>
      </c>
      <c r="B307" s="852"/>
      <c r="C307" s="852"/>
      <c r="D307" s="174" t="s">
        <v>800</v>
      </c>
      <c r="E307" s="690"/>
      <c r="F307" s="798"/>
      <c r="G307" s="788" t="str">
        <f t="shared" si="3"/>
        <v>Please do not leave blank</v>
      </c>
      <c r="H307" s="17"/>
      <c r="I307" s="296"/>
      <c r="J307" s="725"/>
      <c r="K307" s="296"/>
      <c r="L307" s="296"/>
      <c r="M307" s="296"/>
      <c r="O307" s="296"/>
      <c r="Z307" s="309"/>
      <c r="AA307" s="309"/>
      <c r="AB307" s="309"/>
      <c r="AC307" s="309"/>
      <c r="AD307" s="309"/>
      <c r="AE307" s="309"/>
      <c r="AF307" s="309"/>
      <c r="AG307" s="309"/>
      <c r="AH307" s="309"/>
      <c r="AI307" s="309"/>
      <c r="AJ307" s="309"/>
      <c r="AK307" s="309"/>
      <c r="AL307" s="309"/>
      <c r="AM307" s="309"/>
      <c r="AN307" s="309"/>
      <c r="AO307" s="309"/>
      <c r="AP307" s="309"/>
      <c r="AQ307" s="309"/>
      <c r="AR307" s="309"/>
    </row>
    <row r="308" spans="1:44" ht="72" x14ac:dyDescent="0.3">
      <c r="A308" s="309">
        <v>952</v>
      </c>
      <c r="B308" s="852"/>
      <c r="C308" s="852"/>
      <c r="D308" s="799" t="s">
        <v>1418</v>
      </c>
      <c r="E308" s="690"/>
      <c r="F308" s="800"/>
      <c r="G308" s="788" t="s">
        <v>1564</v>
      </c>
      <c r="H308" s="17"/>
      <c r="I308" s="801"/>
      <c r="J308" s="725"/>
      <c r="K308" s="296"/>
      <c r="L308" s="296"/>
      <c r="M308" s="296"/>
      <c r="O308" s="296"/>
      <c r="Z308" s="309"/>
      <c r="AA308" s="309"/>
      <c r="AB308" s="309"/>
      <c r="AC308" s="309"/>
      <c r="AD308" s="309"/>
      <c r="AE308" s="309"/>
      <c r="AF308" s="309"/>
      <c r="AG308" s="309"/>
      <c r="AH308" s="309"/>
      <c r="AI308" s="309"/>
      <c r="AJ308" s="309"/>
      <c r="AK308" s="309"/>
      <c r="AL308" s="309"/>
      <c r="AM308" s="309"/>
      <c r="AN308" s="309"/>
      <c r="AO308" s="309"/>
      <c r="AP308" s="309"/>
      <c r="AQ308" s="309"/>
      <c r="AR308" s="309"/>
    </row>
    <row r="309" spans="1:44" ht="93" customHeight="1" x14ac:dyDescent="0.3">
      <c r="A309" s="309">
        <v>954</v>
      </c>
      <c r="B309" s="852"/>
      <c r="C309" s="852"/>
      <c r="D309" s="799" t="s">
        <v>801</v>
      </c>
      <c r="E309" s="690"/>
      <c r="F309" s="798"/>
      <c r="G309" s="788" t="str">
        <f t="shared" si="3"/>
        <v>Please do not leave blank</v>
      </c>
      <c r="H309" s="17"/>
      <c r="I309" s="296"/>
      <c r="J309" s="725"/>
      <c r="K309" s="296"/>
      <c r="L309" s="296"/>
      <c r="M309" s="296"/>
      <c r="O309" s="296"/>
      <c r="Z309" s="309"/>
      <c r="AA309" s="309"/>
      <c r="AB309" s="309"/>
      <c r="AC309" s="309"/>
      <c r="AD309" s="309"/>
      <c r="AE309" s="309"/>
      <c r="AF309" s="309"/>
      <c r="AG309" s="309"/>
      <c r="AH309" s="309"/>
      <c r="AI309" s="309"/>
      <c r="AJ309" s="309"/>
      <c r="AK309" s="309"/>
      <c r="AL309" s="309"/>
      <c r="AM309" s="309"/>
      <c r="AN309" s="309"/>
      <c r="AO309" s="309"/>
      <c r="AP309" s="309"/>
      <c r="AQ309" s="309"/>
      <c r="AR309" s="309"/>
    </row>
    <row r="310" spans="1:44" ht="98.25" customHeight="1" x14ac:dyDescent="0.3">
      <c r="A310" s="309">
        <v>956</v>
      </c>
      <c r="B310" s="852"/>
      <c r="C310" s="852"/>
      <c r="D310" s="799" t="s">
        <v>802</v>
      </c>
      <c r="E310" s="690"/>
      <c r="F310" s="798"/>
      <c r="G310" s="788" t="str">
        <f t="shared" si="3"/>
        <v>Please do not leave blank</v>
      </c>
      <c r="H310" s="17"/>
      <c r="I310" s="296"/>
      <c r="J310" s="301"/>
      <c r="K310" s="296"/>
      <c r="L310" s="296"/>
      <c r="M310" s="296"/>
      <c r="O310" s="296"/>
      <c r="Z310" s="309"/>
      <c r="AA310" s="309"/>
      <c r="AB310" s="309"/>
      <c r="AC310" s="309"/>
      <c r="AD310" s="309"/>
      <c r="AE310" s="309"/>
      <c r="AF310" s="309"/>
      <c r="AG310" s="309"/>
      <c r="AH310" s="309"/>
      <c r="AI310" s="309"/>
      <c r="AJ310" s="309"/>
      <c r="AK310" s="309"/>
      <c r="AL310" s="309"/>
      <c r="AM310" s="309"/>
      <c r="AN310" s="309"/>
      <c r="AO310" s="309"/>
      <c r="AP310" s="309"/>
      <c r="AQ310" s="309"/>
      <c r="AR310" s="309"/>
    </row>
    <row r="311" spans="1:44" ht="218.25" customHeight="1" x14ac:dyDescent="0.3">
      <c r="A311" s="309">
        <v>958</v>
      </c>
      <c r="B311" s="852"/>
      <c r="C311" s="852"/>
      <c r="D311" s="796" t="s">
        <v>1263</v>
      </c>
      <c r="E311" s="690"/>
      <c r="F311" s="798"/>
      <c r="G311" s="788" t="str">
        <f t="shared" si="3"/>
        <v>Please do not leave blank</v>
      </c>
      <c r="H311" s="17"/>
      <c r="I311" s="296"/>
      <c r="J311" s="296"/>
      <c r="K311" s="296"/>
      <c r="L311" s="296"/>
      <c r="M311" s="296"/>
      <c r="O311" s="296"/>
      <c r="Z311" s="309"/>
      <c r="AA311" s="309"/>
      <c r="AB311" s="309"/>
      <c r="AC311" s="309"/>
      <c r="AD311" s="309"/>
      <c r="AE311" s="309"/>
      <c r="AF311" s="309"/>
      <c r="AG311" s="309"/>
      <c r="AH311" s="309"/>
      <c r="AI311" s="309"/>
      <c r="AJ311" s="309"/>
      <c r="AK311" s="309"/>
      <c r="AL311" s="309"/>
      <c r="AM311" s="309"/>
      <c r="AN311" s="309"/>
      <c r="AO311" s="309"/>
      <c r="AP311" s="309"/>
      <c r="AQ311" s="309"/>
      <c r="AR311" s="309"/>
    </row>
    <row r="312" spans="1:44" ht="15" thickBot="1" x14ac:dyDescent="0.35">
      <c r="A312" s="108"/>
      <c r="B312" s="904"/>
      <c r="C312" s="905"/>
      <c r="D312" s="906" t="s">
        <v>804</v>
      </c>
      <c r="E312" s="890"/>
      <c r="F312" s="907"/>
      <c r="G312" s="908"/>
      <c r="H312" s="909"/>
      <c r="I312" s="296"/>
      <c r="J312" s="296"/>
      <c r="K312" s="296"/>
      <c r="L312" s="296"/>
      <c r="M312" s="296"/>
      <c r="O312" s="296"/>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187" t="s">
        <v>863</v>
      </c>
      <c r="C313" s="1188"/>
      <c r="D313" s="1188"/>
      <c r="E313" s="1189"/>
      <c r="F313" s="79"/>
      <c r="G313" s="788"/>
      <c r="H313" s="17"/>
      <c r="I313" s="108"/>
      <c r="Z313" s="18"/>
    </row>
    <row r="314" spans="1:44" ht="75.75" customHeight="1" x14ac:dyDescent="0.3">
      <c r="B314" s="1191" t="s">
        <v>864</v>
      </c>
      <c r="C314" s="1191"/>
      <c r="D314" s="1191"/>
      <c r="E314" s="1191"/>
      <c r="F314" s="79"/>
      <c r="G314" s="788"/>
      <c r="H314" s="17"/>
      <c r="I314" s="108"/>
      <c r="Z314" s="18"/>
    </row>
    <row r="315" spans="1:44" ht="15" thickBot="1" x14ac:dyDescent="0.35">
      <c r="A315" s="802"/>
      <c r="B315" s="803"/>
      <c r="C315" s="803"/>
      <c r="D315" s="804"/>
      <c r="E315" s="685"/>
      <c r="F315" s="79"/>
      <c r="G315" s="788"/>
      <c r="H315" s="17"/>
      <c r="I315" s="108"/>
      <c r="Z315" s="802"/>
      <c r="AA315" s="802"/>
      <c r="AB315" s="802"/>
      <c r="AC315" s="802"/>
      <c r="AD315" s="802"/>
      <c r="AE315" s="802"/>
      <c r="AF315" s="802"/>
      <c r="AG315" s="802"/>
      <c r="AH315" s="802"/>
      <c r="AI315" s="802"/>
      <c r="AJ315" s="802"/>
      <c r="AK315" s="802"/>
      <c r="AL315" s="802"/>
      <c r="AM315" s="802"/>
      <c r="AN315" s="802"/>
      <c r="AO315" s="802"/>
      <c r="AP315" s="802"/>
      <c r="AQ315" s="802"/>
      <c r="AR315" s="802"/>
    </row>
    <row r="316" spans="1:44" ht="15" thickBot="1" x14ac:dyDescent="0.35">
      <c r="B316" s="159" t="s">
        <v>777</v>
      </c>
      <c r="C316" s="160" t="s">
        <v>778</v>
      </c>
      <c r="D316" s="805"/>
      <c r="E316" s="806"/>
      <c r="F316" s="100"/>
      <c r="G316" s="788"/>
      <c r="H316" s="17"/>
      <c r="I316" s="108"/>
      <c r="Z316" s="18"/>
    </row>
    <row r="317" spans="1:44" ht="44.25" customHeight="1" thickBot="1" x14ac:dyDescent="0.35">
      <c r="B317" s="163" t="s">
        <v>822</v>
      </c>
      <c r="C317" s="162"/>
      <c r="D317" s="161"/>
      <c r="E317" s="691"/>
      <c r="F317" s="807"/>
      <c r="G317" s="788"/>
      <c r="H317" s="17"/>
      <c r="I317" s="108"/>
      <c r="Z317" s="18"/>
    </row>
    <row r="318" spans="1:44" ht="44.25" customHeight="1" thickBot="1" x14ac:dyDescent="0.35">
      <c r="B318" s="163"/>
      <c r="C318" s="173"/>
      <c r="D318" s="808" t="s">
        <v>852</v>
      </c>
      <c r="E318" s="809"/>
      <c r="F318" s="810"/>
      <c r="G318" s="810"/>
      <c r="H318" s="17"/>
      <c r="I318" s="108"/>
      <c r="Z318" s="18"/>
    </row>
    <row r="319" spans="1:44" ht="64.5" customHeight="1" thickBot="1" x14ac:dyDescent="0.35">
      <c r="A319" s="575">
        <v>960</v>
      </c>
      <c r="B319" s="1196" t="s">
        <v>823</v>
      </c>
      <c r="C319" s="1197"/>
      <c r="D319" s="811"/>
      <c r="E319" s="917" t="str">
        <f>IF(ISBLANK($D319),"&lt;&lt;&lt;&lt;&lt;&lt;&lt;&lt;&lt;&lt;&lt;&lt;&lt;&lt;&lt;","")</f>
        <v>&lt;&lt;&lt;&lt;&lt;&lt;&lt;&lt;&lt;&lt;&lt;&lt;&lt;&lt;&lt;</v>
      </c>
      <c r="F319" s="918" t="str">
        <f>IF(ISBLANK($D319),"Required","")</f>
        <v>Required</v>
      </c>
      <c r="G319" s="920"/>
      <c r="H319" s="747"/>
      <c r="I319" s="108"/>
      <c r="Z319" s="575"/>
      <c r="AA319" s="575"/>
      <c r="AB319" s="575"/>
      <c r="AC319" s="575"/>
      <c r="AD319" s="575"/>
      <c r="AE319" s="575"/>
      <c r="AF319" s="575"/>
      <c r="AG319" s="575"/>
      <c r="AH319" s="575"/>
      <c r="AI319" s="575"/>
      <c r="AJ319" s="575"/>
      <c r="AK319" s="575"/>
      <c r="AL319" s="575"/>
      <c r="AM319" s="575"/>
      <c r="AN319" s="575"/>
      <c r="AO319" s="575"/>
      <c r="AP319" s="575"/>
      <c r="AQ319" s="575"/>
      <c r="AR319" s="575"/>
    </row>
    <row r="320" spans="1:44" ht="30.75" customHeight="1" thickBot="1" x14ac:dyDescent="0.35">
      <c r="A320" s="575">
        <v>962</v>
      </c>
      <c r="B320" s="1192" t="s">
        <v>779</v>
      </c>
      <c r="C320" s="1193"/>
      <c r="D320" s="811"/>
      <c r="E320" s="917" t="str">
        <f>IF(ISBLANK($D320),"&lt;&lt;&lt;&lt;&lt;&lt;&lt;&lt;&lt;&lt;&lt;&lt;&lt;&lt;&lt;","")</f>
        <v>&lt;&lt;&lt;&lt;&lt;&lt;&lt;&lt;&lt;&lt;&lt;&lt;&lt;&lt;&lt;</v>
      </c>
      <c r="F320" s="918" t="str">
        <f>IF(ISBLANK($D320),"Required","")</f>
        <v>Required</v>
      </c>
      <c r="H320" s="17"/>
      <c r="I320" s="108"/>
      <c r="Z320" s="575"/>
      <c r="AA320" s="575"/>
      <c r="AB320" s="575"/>
      <c r="AC320" s="575"/>
      <c r="AD320" s="575"/>
      <c r="AE320" s="575"/>
      <c r="AF320" s="575"/>
      <c r="AG320" s="575"/>
      <c r="AH320" s="575"/>
      <c r="AI320" s="575"/>
      <c r="AJ320" s="575"/>
      <c r="AK320" s="575"/>
      <c r="AL320" s="575"/>
      <c r="AM320" s="575"/>
      <c r="AN320" s="575"/>
      <c r="AO320" s="575"/>
      <c r="AP320" s="575"/>
      <c r="AQ320" s="575"/>
      <c r="AR320" s="575"/>
    </row>
    <row r="321" spans="1:44" ht="30.75" customHeight="1" thickBot="1" x14ac:dyDescent="0.35">
      <c r="A321" s="575">
        <v>964</v>
      </c>
      <c r="B321" s="1192" t="s">
        <v>780</v>
      </c>
      <c r="C321" s="1193"/>
      <c r="D321" s="812"/>
      <c r="E321" s="917" t="str">
        <f>IF(ISBLANK($D321),"&lt;&lt;&lt;&lt;&lt;&lt;&lt;&lt;&lt;&lt;&lt;&lt;&lt;&lt;&lt;","")</f>
        <v>&lt;&lt;&lt;&lt;&lt;&lt;&lt;&lt;&lt;&lt;&lt;&lt;&lt;&lt;&lt;</v>
      </c>
      <c r="F321" s="918" t="str">
        <f>IF(ISBLANK($D321),"Required","")</f>
        <v>Required</v>
      </c>
      <c r="H321" s="17"/>
      <c r="I321" s="368"/>
      <c r="Z321" s="575"/>
      <c r="AA321" s="575"/>
      <c r="AB321" s="575"/>
      <c r="AC321" s="575"/>
      <c r="AD321" s="575"/>
      <c r="AE321" s="575"/>
      <c r="AF321" s="575"/>
      <c r="AG321" s="575"/>
      <c r="AH321" s="575"/>
      <c r="AI321" s="575"/>
      <c r="AJ321" s="575"/>
      <c r="AK321" s="575"/>
      <c r="AL321" s="575"/>
      <c r="AM321" s="575"/>
      <c r="AN321" s="575"/>
      <c r="AO321" s="575"/>
      <c r="AP321" s="575"/>
      <c r="AQ321" s="575"/>
      <c r="AR321" s="575"/>
    </row>
    <row r="322" spans="1:44" ht="30.75" customHeight="1" thickBot="1" x14ac:dyDescent="0.35">
      <c r="A322" s="575">
        <v>966</v>
      </c>
      <c r="B322" s="1192" t="s">
        <v>781</v>
      </c>
      <c r="C322" s="1193"/>
      <c r="D322" s="811"/>
      <c r="E322" s="917" t="str">
        <f>IF(ISBLANK($D322),"&lt;&lt;&lt;&lt;&lt;&lt;&lt;&lt;&lt;&lt;&lt;&lt;&lt;&lt;&lt;","")</f>
        <v>&lt;&lt;&lt;&lt;&lt;&lt;&lt;&lt;&lt;&lt;&lt;&lt;&lt;&lt;&lt;</v>
      </c>
      <c r="F322" s="918" t="str">
        <f>IF(ISBLANK($D322),"Required","")</f>
        <v>Required</v>
      </c>
      <c r="H322" s="17"/>
      <c r="I322" s="108"/>
      <c r="Z322" s="575"/>
      <c r="AA322" s="575"/>
      <c r="AB322" s="575"/>
      <c r="AC322" s="575"/>
      <c r="AD322" s="575"/>
      <c r="AE322" s="575"/>
      <c r="AF322" s="575"/>
      <c r="AG322" s="575"/>
      <c r="AH322" s="575"/>
      <c r="AI322" s="575"/>
      <c r="AJ322" s="575"/>
      <c r="AK322" s="575"/>
      <c r="AL322" s="575"/>
      <c r="AM322" s="575"/>
      <c r="AN322" s="575"/>
      <c r="AO322" s="575"/>
      <c r="AP322" s="575"/>
      <c r="AQ322" s="575"/>
      <c r="AR322" s="575"/>
    </row>
    <row r="323" spans="1:44" ht="30.75" customHeight="1" thickBot="1" x14ac:dyDescent="0.35">
      <c r="A323" s="575">
        <v>968</v>
      </c>
      <c r="B323" s="1194" t="s">
        <v>782</v>
      </c>
      <c r="C323" s="1195"/>
      <c r="D323" s="813"/>
      <c r="E323" s="919" t="str">
        <f>IF(ISBLANK($D323),"&lt;&lt;&lt;&lt;&lt;&lt;&lt;&lt;&lt;&lt;&lt;&lt;&lt;&lt;&lt;","")</f>
        <v>&lt;&lt;&lt;&lt;&lt;&lt;&lt;&lt;&lt;&lt;&lt;&lt;&lt;&lt;&lt;</v>
      </c>
      <c r="F323" s="918" t="str">
        <f>IF(ISBLANK($D323),"Required","")</f>
        <v>Required</v>
      </c>
      <c r="H323" s="17"/>
      <c r="I323" s="108"/>
      <c r="Z323" s="575"/>
      <c r="AA323" s="575"/>
      <c r="AB323" s="575"/>
      <c r="AC323" s="575"/>
      <c r="AD323" s="575"/>
      <c r="AE323" s="575"/>
      <c r="AF323" s="575"/>
      <c r="AG323" s="575"/>
      <c r="AH323" s="575"/>
      <c r="AI323" s="575"/>
      <c r="AJ323" s="575"/>
      <c r="AK323" s="575"/>
      <c r="AL323" s="575"/>
      <c r="AM323" s="575"/>
      <c r="AN323" s="575"/>
      <c r="AO323" s="575"/>
      <c r="AP323" s="575"/>
      <c r="AQ323" s="575"/>
      <c r="AR323" s="575"/>
    </row>
    <row r="324" spans="1:44" x14ac:dyDescent="0.3">
      <c r="A324" s="108"/>
      <c r="B324" s="910"/>
      <c r="C324" s="910"/>
      <c r="D324" s="921" t="s">
        <v>46</v>
      </c>
      <c r="E324" s="911"/>
      <c r="F324" s="911"/>
      <c r="G324" s="911"/>
      <c r="H324" s="912"/>
      <c r="I324" s="108"/>
    </row>
    <row r="325" spans="1:44" x14ac:dyDescent="0.3">
      <c r="A325" s="108"/>
      <c r="B325" s="687"/>
      <c r="C325" s="687"/>
      <c r="D325" s="171"/>
      <c r="E325" s="298"/>
      <c r="F325" s="814"/>
      <c r="G325" s="814"/>
      <c r="H325" s="17"/>
      <c r="I325" s="108"/>
    </row>
    <row r="326" spans="1:44" x14ac:dyDescent="0.3">
      <c r="A326" s="108"/>
      <c r="B326" s="687"/>
      <c r="C326" s="687"/>
      <c r="D326" s="24"/>
      <c r="E326" s="685"/>
      <c r="F326" s="814"/>
      <c r="G326" s="814"/>
      <c r="H326" s="17"/>
      <c r="I326" s="108"/>
    </row>
    <row r="327" spans="1:44" x14ac:dyDescent="0.3">
      <c r="A327" s="1105">
        <f>SUBTOTAL(109,A7:A323)</f>
        <v>96734</v>
      </c>
      <c r="E327" s="1143"/>
    </row>
    <row r="328" spans="1:44" x14ac:dyDescent="0.3">
      <c r="A328" s="108"/>
      <c r="B328" s="853"/>
      <c r="C328" s="853"/>
      <c r="D328" s="815"/>
      <c r="E328" s="413"/>
      <c r="F328" s="18"/>
      <c r="G328" s="816"/>
      <c r="H328" s="17"/>
      <c r="I328" s="108"/>
    </row>
    <row r="329" spans="1:44" x14ac:dyDescent="0.3">
      <c r="A329" s="575"/>
      <c r="B329" s="575"/>
      <c r="C329" s="575"/>
      <c r="D329" s="815"/>
      <c r="E329" s="413"/>
      <c r="F329" s="296"/>
      <c r="G329" s="816"/>
      <c r="H329" s="17"/>
      <c r="I329" s="108"/>
    </row>
    <row r="330" spans="1:44" x14ac:dyDescent="0.3">
      <c r="A330" s="575"/>
      <c r="B330" s="575"/>
      <c r="C330" s="575"/>
      <c r="D330" s="817"/>
      <c r="E330" s="413"/>
      <c r="F330" s="296"/>
      <c r="G330" s="816"/>
      <c r="H330" s="17"/>
      <c r="I330" s="108"/>
    </row>
    <row r="331" spans="1:44" x14ac:dyDescent="0.3">
      <c r="A331" s="575"/>
      <c r="B331" s="575"/>
      <c r="C331" s="575"/>
      <c r="D331" s="817"/>
      <c r="E331" s="413"/>
      <c r="F331" s="296"/>
      <c r="G331" s="816"/>
      <c r="H331" s="17"/>
      <c r="I331" s="108"/>
    </row>
    <row r="332" spans="1:44" x14ac:dyDescent="0.3">
      <c r="A332" s="575"/>
      <c r="B332" s="575"/>
      <c r="C332" s="575"/>
      <c r="D332" s="817"/>
      <c r="E332" s="413"/>
      <c r="F332" s="296"/>
      <c r="G332" s="816"/>
      <c r="H332" s="17"/>
      <c r="I332" s="108"/>
    </row>
    <row r="333" spans="1:44" x14ac:dyDescent="0.3">
      <c r="A333" s="575"/>
      <c r="B333" s="575"/>
      <c r="C333" s="575"/>
      <c r="D333" s="817"/>
      <c r="E333" s="403"/>
      <c r="F333" s="296"/>
      <c r="G333" s="816"/>
      <c r="H333" s="17"/>
      <c r="I333" s="108"/>
    </row>
    <row r="334" spans="1:44" x14ac:dyDescent="0.3">
      <c r="A334" s="575"/>
      <c r="D334" s="615"/>
      <c r="E334" s="413"/>
      <c r="F334" s="296"/>
      <c r="H334" s="17"/>
      <c r="I334" s="108"/>
    </row>
    <row r="335" spans="1:44" x14ac:dyDescent="0.3">
      <c r="D335" s="615"/>
      <c r="E335" s="414"/>
      <c r="F335" s="296"/>
      <c r="H335" s="17"/>
      <c r="I335" s="108"/>
    </row>
    <row r="336" spans="1:44" x14ac:dyDescent="0.3">
      <c r="D336" s="615"/>
      <c r="E336" s="413"/>
      <c r="F336" s="296"/>
      <c r="H336" s="17"/>
      <c r="I336" s="108"/>
    </row>
    <row r="337" spans="4:12" x14ac:dyDescent="0.3">
      <c r="D337" s="615"/>
      <c r="E337" s="298"/>
      <c r="F337" s="296"/>
      <c r="I337" s="108"/>
    </row>
    <row r="338" spans="4:12" x14ac:dyDescent="0.3">
      <c r="E338" s="298"/>
      <c r="F338" s="296"/>
      <c r="G338" s="819"/>
      <c r="I338" s="108"/>
    </row>
    <row r="339" spans="4:12" x14ac:dyDescent="0.3">
      <c r="E339" s="298"/>
      <c r="F339" s="296"/>
      <c r="I339" s="108"/>
    </row>
    <row r="340" spans="4:12" x14ac:dyDescent="0.3">
      <c r="E340" s="298"/>
      <c r="F340" s="296"/>
      <c r="I340" s="108"/>
    </row>
    <row r="341" spans="4:12" x14ac:dyDescent="0.3">
      <c r="E341" s="298"/>
      <c r="F341" s="296"/>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6"/>
    </row>
    <row r="350" spans="4:12" x14ac:dyDescent="0.3">
      <c r="I350" s="296"/>
      <c r="K350" s="298"/>
      <c r="L350" s="298"/>
    </row>
    <row r="351" spans="4:12" x14ac:dyDescent="0.3">
      <c r="I351" s="296"/>
      <c r="K351" s="298"/>
      <c r="L351" s="298"/>
    </row>
    <row r="352" spans="4:12" x14ac:dyDescent="0.3">
      <c r="I352" s="296"/>
      <c r="K352" s="298"/>
      <c r="L352" s="298"/>
    </row>
    <row r="353" spans="9:12" x14ac:dyDescent="0.3">
      <c r="I353" s="296"/>
      <c r="K353" s="298"/>
      <c r="L353" s="298"/>
    </row>
    <row r="354" spans="9:12" x14ac:dyDescent="0.3">
      <c r="I354" s="296"/>
      <c r="K354" s="298"/>
      <c r="L354" s="298"/>
    </row>
    <row r="355" spans="9:12" x14ac:dyDescent="0.3">
      <c r="I355" s="296"/>
      <c r="K355" s="298"/>
      <c r="L355" s="298"/>
    </row>
    <row r="356" spans="9:12" x14ac:dyDescent="0.3">
      <c r="I356" s="108"/>
      <c r="K356" s="298"/>
      <c r="L356" s="298"/>
    </row>
    <row r="357" spans="9:12" x14ac:dyDescent="0.3">
      <c r="I357" s="108"/>
      <c r="K357" s="298"/>
      <c r="L357" s="298"/>
    </row>
    <row r="358" spans="9:12" x14ac:dyDescent="0.3">
      <c r="I358" s="108"/>
      <c r="J358" s="298"/>
      <c r="K358" s="298"/>
      <c r="L358" s="298"/>
    </row>
    <row r="359" spans="9:12" x14ac:dyDescent="0.3">
      <c r="I359" s="108"/>
      <c r="J359" s="298"/>
      <c r="K359" s="298"/>
      <c r="L359" s="298"/>
    </row>
    <row r="360" spans="9:12" x14ac:dyDescent="0.3">
      <c r="I360" s="108"/>
      <c r="J360" s="298"/>
      <c r="K360" s="298"/>
      <c r="L360" s="298"/>
    </row>
    <row r="361" spans="9:12" x14ac:dyDescent="0.3">
      <c r="I361" s="108"/>
      <c r="J361" s="298"/>
      <c r="K361" s="298"/>
      <c r="L361" s="298"/>
    </row>
    <row r="362" spans="9:12" x14ac:dyDescent="0.3">
      <c r="I362" s="108"/>
      <c r="J362" s="298"/>
      <c r="K362" s="298"/>
      <c r="L362" s="298"/>
    </row>
    <row r="363" spans="9:12" x14ac:dyDescent="0.3">
      <c r="I363" s="108"/>
      <c r="J363" s="298"/>
      <c r="K363" s="298"/>
      <c r="L363" s="298"/>
    </row>
    <row r="364" spans="9:12" x14ac:dyDescent="0.3">
      <c r="I364" s="108"/>
      <c r="J364" s="298"/>
      <c r="K364" s="298"/>
      <c r="L364" s="298"/>
    </row>
    <row r="365" spans="9:12" x14ac:dyDescent="0.3">
      <c r="I365" s="296"/>
      <c r="J365" s="298"/>
      <c r="K365" s="298"/>
      <c r="L365" s="298"/>
    </row>
    <row r="366" spans="9:12" x14ac:dyDescent="0.3">
      <c r="I366" s="296"/>
      <c r="J366" s="298"/>
      <c r="K366" s="298"/>
      <c r="L366" s="298"/>
    </row>
    <row r="367" spans="9:12" x14ac:dyDescent="0.3">
      <c r="I367" s="296"/>
      <c r="J367" s="298"/>
      <c r="K367" s="298"/>
      <c r="L367" s="298"/>
    </row>
    <row r="368" spans="9:12" x14ac:dyDescent="0.3">
      <c r="I368" s="296"/>
      <c r="J368" s="298"/>
      <c r="K368" s="298"/>
      <c r="L368" s="298"/>
    </row>
    <row r="369" spans="9:12" x14ac:dyDescent="0.3">
      <c r="I369" s="296"/>
      <c r="J369" s="298"/>
      <c r="K369" s="298"/>
      <c r="L369" s="298"/>
    </row>
    <row r="370" spans="9:12" x14ac:dyDescent="0.3">
      <c r="I370" s="296"/>
      <c r="J370" s="298"/>
      <c r="K370" s="298"/>
      <c r="L370" s="298"/>
    </row>
    <row r="371" spans="9:12" x14ac:dyDescent="0.3">
      <c r="I371" s="296"/>
      <c r="J371" s="298"/>
      <c r="K371" s="298"/>
      <c r="L371" s="298"/>
    </row>
    <row r="372" spans="9:12" x14ac:dyDescent="0.3">
      <c r="I372" s="296"/>
      <c r="J372" s="298"/>
      <c r="K372" s="298"/>
      <c r="L372" s="298"/>
    </row>
    <row r="373" spans="9:12" x14ac:dyDescent="0.3">
      <c r="I373" s="296"/>
      <c r="J373" s="298"/>
      <c r="K373" s="298"/>
      <c r="L373" s="298"/>
    </row>
    <row r="374" spans="9:12" x14ac:dyDescent="0.3">
      <c r="I374" s="296"/>
      <c r="J374" s="298"/>
      <c r="K374" s="298"/>
      <c r="L374" s="298"/>
    </row>
    <row r="375" spans="9:12" x14ac:dyDescent="0.3">
      <c r="I375" s="296"/>
      <c r="J375" s="298"/>
      <c r="K375" s="298"/>
      <c r="L375" s="298"/>
    </row>
    <row r="376" spans="9:12" x14ac:dyDescent="0.3">
      <c r="I376" s="296"/>
      <c r="J376" s="298"/>
      <c r="K376" s="298"/>
      <c r="L376" s="298"/>
    </row>
    <row r="377" spans="9:12" x14ac:dyDescent="0.3">
      <c r="I377" s="296"/>
      <c r="J377" s="298"/>
      <c r="K377" s="298"/>
      <c r="L377" s="298"/>
    </row>
    <row r="378" spans="9:12" x14ac:dyDescent="0.3">
      <c r="I378" s="296"/>
      <c r="J378" s="298"/>
      <c r="K378" s="298"/>
      <c r="L378" s="298"/>
    </row>
    <row r="379" spans="9:12" x14ac:dyDescent="0.3">
      <c r="I379" s="296"/>
      <c r="J379" s="298"/>
      <c r="K379" s="298"/>
      <c r="L379" s="298"/>
    </row>
    <row r="380" spans="9:12" x14ac:dyDescent="0.3">
      <c r="I380" s="296"/>
      <c r="J380" s="298"/>
      <c r="K380" s="298"/>
      <c r="L380" s="298"/>
    </row>
    <row r="381" spans="9:12" x14ac:dyDescent="0.3">
      <c r="I381" s="296"/>
      <c r="J381" s="298"/>
      <c r="K381" s="298"/>
      <c r="L381" s="298"/>
    </row>
    <row r="382" spans="9:12" x14ac:dyDescent="0.3">
      <c r="I382" s="296"/>
      <c r="J382" s="298"/>
      <c r="K382" s="298"/>
      <c r="L382" s="298"/>
    </row>
    <row r="383" spans="9:12" x14ac:dyDescent="0.3">
      <c r="I383" s="296"/>
      <c r="J383" s="298"/>
      <c r="K383" s="298"/>
      <c r="L383" s="298"/>
    </row>
    <row r="384" spans="9:12" x14ac:dyDescent="0.3">
      <c r="I384" s="296"/>
      <c r="J384" s="298"/>
      <c r="K384" s="298"/>
      <c r="L384" s="298"/>
    </row>
    <row r="385" spans="9:12" x14ac:dyDescent="0.3">
      <c r="I385" s="296"/>
      <c r="J385" s="298"/>
      <c r="K385" s="298"/>
      <c r="L385" s="298"/>
    </row>
    <row r="386" spans="9:12" x14ac:dyDescent="0.3">
      <c r="I386" s="296"/>
      <c r="J386" s="298"/>
      <c r="K386" s="298"/>
      <c r="L386" s="298"/>
    </row>
    <row r="387" spans="9:12" x14ac:dyDescent="0.3">
      <c r="I387" s="296"/>
      <c r="J387" s="298"/>
      <c r="K387" s="298"/>
      <c r="L387" s="298"/>
    </row>
    <row r="388" spans="9:12" x14ac:dyDescent="0.3">
      <c r="I388" s="296"/>
      <c r="J388" s="298"/>
      <c r="K388" s="298"/>
      <c r="L388" s="298"/>
    </row>
    <row r="389" spans="9:12" x14ac:dyDescent="0.3">
      <c r="I389" s="296"/>
      <c r="J389" s="298"/>
      <c r="K389" s="298"/>
      <c r="L389" s="298"/>
    </row>
    <row r="390" spans="9:12" x14ac:dyDescent="0.3">
      <c r="I390" s="296"/>
      <c r="J390" s="298"/>
      <c r="K390" s="298"/>
      <c r="L390" s="298"/>
    </row>
    <row r="391" spans="9:12" x14ac:dyDescent="0.3">
      <c r="I391" s="296"/>
      <c r="J391" s="298"/>
      <c r="K391" s="298"/>
      <c r="L391" s="298"/>
    </row>
    <row r="392" spans="9:12" x14ac:dyDescent="0.3">
      <c r="I392" s="296"/>
      <c r="J392" s="298"/>
      <c r="K392" s="298"/>
      <c r="L392" s="298"/>
    </row>
    <row r="393" spans="9:12" x14ac:dyDescent="0.3">
      <c r="I393" s="296"/>
      <c r="J393" s="298"/>
      <c r="K393" s="298"/>
      <c r="L393" s="298"/>
    </row>
    <row r="394" spans="9:12" x14ac:dyDescent="0.3">
      <c r="I394" s="296"/>
      <c r="J394" s="298"/>
      <c r="K394" s="298"/>
      <c r="L394" s="298"/>
    </row>
    <row r="395" spans="9:12" x14ac:dyDescent="0.3">
      <c r="I395" s="296"/>
      <c r="J395" s="298"/>
      <c r="K395" s="298"/>
      <c r="L395" s="298"/>
    </row>
    <row r="396" spans="9:12" x14ac:dyDescent="0.3">
      <c r="I396" s="296"/>
      <c r="J396" s="298"/>
      <c r="K396" s="298"/>
      <c r="L396" s="298"/>
    </row>
    <row r="397" spans="9:12" x14ac:dyDescent="0.3">
      <c r="I397" s="296"/>
      <c r="J397" s="298"/>
      <c r="K397" s="298"/>
      <c r="L397" s="298"/>
    </row>
    <row r="398" spans="9:12" x14ac:dyDescent="0.3">
      <c r="I398" s="296"/>
      <c r="J398" s="298"/>
      <c r="K398" s="298"/>
      <c r="L398" s="298"/>
    </row>
    <row r="399" spans="9:12" x14ac:dyDescent="0.3">
      <c r="I399" s="296"/>
      <c r="J399" s="298"/>
      <c r="K399" s="298"/>
      <c r="L399" s="298"/>
    </row>
    <row r="400" spans="9:12" x14ac:dyDescent="0.3">
      <c r="I400" s="296"/>
      <c r="J400" s="298"/>
      <c r="K400" s="298"/>
      <c r="L400" s="298"/>
    </row>
    <row r="401" spans="9:12" x14ac:dyDescent="0.3">
      <c r="I401" s="296"/>
      <c r="J401" s="298"/>
      <c r="K401" s="298"/>
      <c r="L401" s="298"/>
    </row>
    <row r="402" spans="9:12" x14ac:dyDescent="0.3">
      <c r="I402" s="296"/>
      <c r="J402" s="298"/>
      <c r="K402" s="298"/>
      <c r="L402" s="298"/>
    </row>
    <row r="403" spans="9:12" x14ac:dyDescent="0.3">
      <c r="I403" s="296"/>
      <c r="J403" s="298"/>
      <c r="K403" s="298"/>
      <c r="L403" s="298"/>
    </row>
    <row r="404" spans="9:12" x14ac:dyDescent="0.3">
      <c r="I404" s="296"/>
      <c r="J404" s="298"/>
      <c r="K404" s="298"/>
      <c r="L404" s="298"/>
    </row>
    <row r="405" spans="9:12" x14ac:dyDescent="0.3">
      <c r="I405" s="296"/>
      <c r="J405" s="298"/>
      <c r="K405" s="298"/>
      <c r="L405" s="298"/>
    </row>
    <row r="406" spans="9:12" x14ac:dyDescent="0.3">
      <c r="I406" s="296"/>
      <c r="J406" s="298"/>
      <c r="K406" s="298"/>
      <c r="L406" s="298"/>
    </row>
    <row r="407" spans="9:12" x14ac:dyDescent="0.3">
      <c r="I407" s="296"/>
      <c r="J407" s="298"/>
      <c r="K407" s="298"/>
      <c r="L407" s="298"/>
    </row>
    <row r="408" spans="9:12" x14ac:dyDescent="0.3">
      <c r="I408" s="296"/>
      <c r="J408" s="298"/>
      <c r="K408" s="298"/>
      <c r="L408" s="298"/>
    </row>
    <row r="409" spans="9:12" x14ac:dyDescent="0.3">
      <c r="I409" s="296"/>
      <c r="J409" s="298"/>
      <c r="K409" s="298"/>
      <c r="L409" s="298"/>
    </row>
    <row r="410" spans="9:12" x14ac:dyDescent="0.3">
      <c r="I410" s="296"/>
      <c r="J410" s="298"/>
      <c r="K410" s="298"/>
      <c r="L410" s="298"/>
    </row>
    <row r="411" spans="9:12" x14ac:dyDescent="0.3">
      <c r="I411" s="296"/>
      <c r="J411" s="298"/>
      <c r="K411" s="298"/>
      <c r="L411" s="298"/>
    </row>
    <row r="412" spans="9:12" x14ac:dyDescent="0.3">
      <c r="I412" s="296"/>
      <c r="J412" s="298"/>
      <c r="K412" s="298"/>
      <c r="L412" s="298"/>
    </row>
    <row r="413" spans="9:12" x14ac:dyDescent="0.3">
      <c r="I413" s="296"/>
      <c r="J413" s="298"/>
      <c r="K413" s="298"/>
      <c r="L413" s="298"/>
    </row>
    <row r="414" spans="9:12" x14ac:dyDescent="0.3">
      <c r="I414" s="296"/>
      <c r="J414" s="298"/>
      <c r="K414" s="298"/>
      <c r="L414" s="298"/>
    </row>
    <row r="415" spans="9:12" x14ac:dyDescent="0.3">
      <c r="I415" s="296"/>
      <c r="J415" s="298"/>
      <c r="K415" s="298"/>
      <c r="L415" s="298"/>
    </row>
    <row r="416" spans="9:12" x14ac:dyDescent="0.3">
      <c r="I416" s="296"/>
      <c r="J416" s="298"/>
      <c r="K416" s="298"/>
      <c r="L416" s="298"/>
    </row>
    <row r="417" spans="9:12" x14ac:dyDescent="0.3">
      <c r="I417" s="296"/>
      <c r="J417" s="298"/>
      <c r="K417" s="298"/>
      <c r="L417" s="298"/>
    </row>
    <row r="418" spans="9:12" x14ac:dyDescent="0.3">
      <c r="I418" s="296"/>
      <c r="J418" s="298"/>
      <c r="K418" s="298"/>
      <c r="L418" s="298"/>
    </row>
    <row r="419" spans="9:12" x14ac:dyDescent="0.3">
      <c r="I419" s="296"/>
      <c r="J419" s="298"/>
    </row>
    <row r="420" spans="9:12" x14ac:dyDescent="0.3">
      <c r="I420" s="296"/>
      <c r="J420" s="298"/>
    </row>
    <row r="421" spans="9:12" x14ac:dyDescent="0.3">
      <c r="I421" s="296"/>
      <c r="J421" s="298"/>
    </row>
    <row r="422" spans="9:12" x14ac:dyDescent="0.3">
      <c r="I422" s="296"/>
      <c r="J422" s="298"/>
    </row>
    <row r="423" spans="9:12" x14ac:dyDescent="0.3">
      <c r="I423" s="296"/>
      <c r="J423" s="298"/>
    </row>
    <row r="424" spans="9:12" x14ac:dyDescent="0.3">
      <c r="I424" s="296"/>
      <c r="J424" s="298"/>
    </row>
    <row r="425" spans="9:12" x14ac:dyDescent="0.3">
      <c r="I425" s="296"/>
      <c r="J425" s="298"/>
    </row>
    <row r="426" spans="9:12" x14ac:dyDescent="0.3">
      <c r="I426" s="296"/>
      <c r="J426" s="298"/>
    </row>
    <row r="427" spans="9:12" x14ac:dyDescent="0.3">
      <c r="I427" s="296"/>
    </row>
    <row r="428" spans="9:12" x14ac:dyDescent="0.3">
      <c r="I428" s="296"/>
    </row>
    <row r="429" spans="9:12" x14ac:dyDescent="0.3">
      <c r="I429" s="296"/>
    </row>
    <row r="430" spans="9:12" x14ac:dyDescent="0.3">
      <c r="I430" s="296"/>
    </row>
    <row r="431" spans="9:12" x14ac:dyDescent="0.3">
      <c r="I431" s="296"/>
    </row>
    <row r="432" spans="9:12" x14ac:dyDescent="0.3">
      <c r="I432" s="296"/>
    </row>
    <row r="433" spans="9:9" x14ac:dyDescent="0.3">
      <c r="I433" s="296"/>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FMLC+0jy45U1TzsaCrIsV5XXVz9xQhdhcMhewJaQw99/Ju8me1KpxDze2tRNdPqUVpK1XMsad5QwmSqFaQlWlw==" saltValue="Iht5r2zPCW7cbE68d8zZ4g=="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7" type="noConversion"/>
  <conditionalFormatting sqref="H198 H87:H98">
    <cfRule type="cellIs" dxfId="134" priority="107" stopIfTrue="1" operator="notEqual">
      <formula>0</formula>
    </cfRule>
  </conditionalFormatting>
  <conditionalFormatting sqref="H199">
    <cfRule type="cellIs" dxfId="133" priority="105" stopIfTrue="1" operator="notEqual">
      <formula>0</formula>
    </cfRule>
  </conditionalFormatting>
  <conditionalFormatting sqref="G289:G292 G296:G297">
    <cfRule type="cellIs" dxfId="132" priority="104" stopIfTrue="1" operator="notEqual">
      <formula>0</formula>
    </cfRule>
  </conditionalFormatting>
  <conditionalFormatting sqref="H23">
    <cfRule type="cellIs" dxfId="131" priority="103" stopIfTrue="1" operator="notEqual">
      <formula>0</formula>
    </cfRule>
  </conditionalFormatting>
  <conditionalFormatting sqref="H37:H38">
    <cfRule type="cellIs" dxfId="130" priority="102" stopIfTrue="1" operator="notEqual">
      <formula>0</formula>
    </cfRule>
  </conditionalFormatting>
  <conditionalFormatting sqref="H72">
    <cfRule type="cellIs" dxfId="129" priority="101" stopIfTrue="1" operator="notEqual">
      <formula>0</formula>
    </cfRule>
  </conditionalFormatting>
  <conditionalFormatting sqref="H149">
    <cfRule type="cellIs" dxfId="128" priority="99" stopIfTrue="1" operator="notEqual">
      <formula>0</formula>
    </cfRule>
  </conditionalFormatting>
  <conditionalFormatting sqref="H168">
    <cfRule type="cellIs" dxfId="127" priority="98" stopIfTrue="1" operator="notEqual">
      <formula>0</formula>
    </cfRule>
  </conditionalFormatting>
  <conditionalFormatting sqref="H182">
    <cfRule type="cellIs" dxfId="126" priority="97" stopIfTrue="1" operator="notEqual">
      <formula>0</formula>
    </cfRule>
  </conditionalFormatting>
  <conditionalFormatting sqref="H183">
    <cfRule type="cellIs" dxfId="125"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4" priority="67" stopIfTrue="1" operator="equal">
      <formula>0</formula>
    </cfRule>
  </conditionalFormatting>
  <conditionalFormatting sqref="L260">
    <cfRule type="cellIs" dxfId="123" priority="66" stopIfTrue="1" operator="equal">
      <formula>0</formula>
    </cfRule>
  </conditionalFormatting>
  <conditionalFormatting sqref="G274">
    <cfRule type="cellIs" priority="65" stopIfTrue="1" operator="equal">
      <formula>";;;"</formula>
    </cfRule>
  </conditionalFormatting>
  <conditionalFormatting sqref="G274">
    <cfRule type="cellIs" dxfId="122" priority="64" stopIfTrue="1" operator="equal">
      <formula>0</formula>
    </cfRule>
  </conditionalFormatting>
  <conditionalFormatting sqref="G274">
    <cfRule type="cellIs" dxfId="121" priority="63" stopIfTrue="1" operator="equal">
      <formula>0</formula>
    </cfRule>
  </conditionalFormatting>
  <conditionalFormatting sqref="G273">
    <cfRule type="cellIs" priority="53" stopIfTrue="1" operator="equal">
      <formula>";;;"</formula>
    </cfRule>
  </conditionalFormatting>
  <conditionalFormatting sqref="G273">
    <cfRule type="cellIs" dxfId="120" priority="52" stopIfTrue="1" operator="equal">
      <formula>0</formula>
    </cfRule>
  </conditionalFormatting>
  <conditionalFormatting sqref="G273">
    <cfRule type="cellIs" dxfId="119" priority="51" stopIfTrue="1" operator="equal">
      <formula>0</formula>
    </cfRule>
  </conditionalFormatting>
  <conditionalFormatting sqref="J266">
    <cfRule type="cellIs" priority="50" stopIfTrue="1" operator="equal">
      <formula>";;;"</formula>
    </cfRule>
  </conditionalFormatting>
  <conditionalFormatting sqref="J266">
    <cfRule type="cellIs" dxfId="118" priority="49" stopIfTrue="1" operator="equal">
      <formula>0</formula>
    </cfRule>
  </conditionalFormatting>
  <conditionalFormatting sqref="J266">
    <cfRule type="cellIs" dxfId="117" priority="48" stopIfTrue="1" operator="equal">
      <formula>0</formula>
    </cfRule>
  </conditionalFormatting>
  <conditionalFormatting sqref="G268">
    <cfRule type="cellIs" priority="20" stopIfTrue="1" operator="equal">
      <formula>";;;"</formula>
    </cfRule>
  </conditionalFormatting>
  <conditionalFormatting sqref="G268">
    <cfRule type="cellIs" dxfId="116" priority="19" stopIfTrue="1" operator="equal">
      <formula>0</formula>
    </cfRule>
  </conditionalFormatting>
  <conditionalFormatting sqref="G268">
    <cfRule type="cellIs" dxfId="115" priority="18" stopIfTrue="1" operator="equal">
      <formula>0</formula>
    </cfRule>
  </conditionalFormatting>
  <conditionalFormatting sqref="G266">
    <cfRule type="cellIs" priority="17" stopIfTrue="1" operator="equal">
      <formula>";;;"</formula>
    </cfRule>
  </conditionalFormatting>
  <conditionalFormatting sqref="G266">
    <cfRule type="cellIs" dxfId="114" priority="16" stopIfTrue="1" operator="equal">
      <formula>0</formula>
    </cfRule>
  </conditionalFormatting>
  <conditionalFormatting sqref="G266">
    <cfRule type="cellIs" dxfId="113" priority="15" stopIfTrue="1" operator="equal">
      <formula>0</formula>
    </cfRule>
  </conditionalFormatting>
  <conditionalFormatting sqref="G267">
    <cfRule type="cellIs" priority="14" stopIfTrue="1" operator="equal">
      <formula>";;;"</formula>
    </cfRule>
  </conditionalFormatting>
  <conditionalFormatting sqref="G267">
    <cfRule type="cellIs" dxfId="112" priority="13" stopIfTrue="1" operator="equal">
      <formula>0</formula>
    </cfRule>
  </conditionalFormatting>
  <conditionalFormatting sqref="G267">
    <cfRule type="cellIs" dxfId="111" priority="12" stopIfTrue="1" operator="equal">
      <formula>0</formula>
    </cfRule>
  </conditionalFormatting>
  <conditionalFormatting sqref="G270">
    <cfRule type="cellIs" priority="11" stopIfTrue="1" operator="equal">
      <formula>";;;"</formula>
    </cfRule>
  </conditionalFormatting>
  <conditionalFormatting sqref="G270">
    <cfRule type="cellIs" dxfId="110" priority="10" stopIfTrue="1" operator="equal">
      <formula>0</formula>
    </cfRule>
  </conditionalFormatting>
  <conditionalFormatting sqref="G270">
    <cfRule type="cellIs" dxfId="109" priority="9" stopIfTrue="1" operator="equal">
      <formula>0</formula>
    </cfRule>
  </conditionalFormatting>
  <conditionalFormatting sqref="G272">
    <cfRule type="cellIs" priority="3" stopIfTrue="1" operator="equal">
      <formula>";;;"</formula>
    </cfRule>
  </conditionalFormatting>
  <conditionalFormatting sqref="G272">
    <cfRule type="cellIs" dxfId="108" priority="2" stopIfTrue="1" operator="equal">
      <formula>0</formula>
    </cfRule>
  </conditionalFormatting>
  <conditionalFormatting sqref="G272">
    <cfRule type="cellIs" dxfId="107"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Names(H)'!$A$1:$A$107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3" max="43" width="9.33203125" style="195"/>
    <col min="44" max="16384" width="9.33203125" style="194"/>
  </cols>
  <sheetData>
    <row r="1" spans="1:43" ht="87" customHeight="1" thickBot="1" x14ac:dyDescent="0.35">
      <c r="B1" s="1228" t="s">
        <v>1827</v>
      </c>
      <c r="C1" s="1229"/>
      <c r="D1" s="1229"/>
      <c r="E1" s="1229"/>
      <c r="F1" s="1229"/>
      <c r="G1" s="1229"/>
      <c r="H1" s="1229"/>
      <c r="I1" s="1229"/>
      <c r="J1" s="1230"/>
    </row>
    <row r="2" spans="1:43" s="196" customFormat="1" ht="16.8" hidden="1" thickBot="1" x14ac:dyDescent="0.35">
      <c r="B2" s="1231" t="s">
        <v>871</v>
      </c>
      <c r="C2" s="1232"/>
      <c r="D2" s="1232"/>
      <c r="E2" s="1232"/>
      <c r="F2" s="1232"/>
      <c r="G2" s="1232"/>
      <c r="H2" s="1232"/>
      <c r="I2" s="1232"/>
      <c r="J2" s="1233"/>
      <c r="K2"/>
      <c r="L2"/>
      <c r="M2"/>
      <c r="N2"/>
      <c r="O2"/>
      <c r="P2"/>
      <c r="Q2"/>
      <c r="R2"/>
      <c r="S2"/>
      <c r="T2"/>
      <c r="U2"/>
      <c r="V2"/>
      <c r="W2"/>
      <c r="X2"/>
      <c r="Y2"/>
      <c r="Z2"/>
      <c r="AA2"/>
      <c r="AB2"/>
      <c r="AC2"/>
      <c r="AD2"/>
      <c r="AE2"/>
      <c r="AF2"/>
      <c r="AG2"/>
      <c r="AH2"/>
      <c r="AI2"/>
      <c r="AJ2"/>
      <c r="AK2"/>
      <c r="AL2"/>
      <c r="AM2"/>
      <c r="AN2"/>
      <c r="AO2"/>
      <c r="AP2"/>
      <c r="AQ2" s="195"/>
    </row>
    <row r="3" spans="1:43" s="198" customFormat="1" ht="39" hidden="1" customHeight="1" thickBot="1" x14ac:dyDescent="0.35">
      <c r="A3" s="194"/>
      <c r="B3" s="1234" t="s">
        <v>872</v>
      </c>
      <c r="C3" s="1235"/>
      <c r="D3" s="1235"/>
      <c r="E3" s="1235"/>
      <c r="F3" s="1235"/>
      <c r="G3" s="1235"/>
      <c r="H3" s="1235"/>
      <c r="I3" s="1235"/>
      <c r="J3" s="1236"/>
      <c r="K3"/>
      <c r="L3"/>
      <c r="M3"/>
      <c r="N3"/>
      <c r="O3"/>
      <c r="P3"/>
      <c r="Q3"/>
      <c r="R3"/>
      <c r="S3"/>
      <c r="T3"/>
      <c r="U3"/>
      <c r="V3"/>
      <c r="W3"/>
      <c r="X3"/>
      <c r="Y3"/>
      <c r="Z3"/>
      <c r="AA3"/>
      <c r="AB3"/>
      <c r="AC3"/>
      <c r="AD3"/>
      <c r="AE3"/>
      <c r="AF3"/>
      <c r="AG3"/>
      <c r="AH3"/>
      <c r="AI3"/>
      <c r="AJ3"/>
      <c r="AK3"/>
      <c r="AL3"/>
      <c r="AM3"/>
      <c r="AN3"/>
      <c r="AO3"/>
      <c r="AP3"/>
      <c r="AQ3" s="197"/>
    </row>
    <row r="4" spans="1:43" ht="25.35" customHeight="1" x14ac:dyDescent="0.3">
      <c r="B4" s="1167" t="s">
        <v>873</v>
      </c>
      <c r="C4" s="1163"/>
      <c r="D4" s="1163"/>
      <c r="E4" s="1163"/>
      <c r="F4" s="1161"/>
      <c r="G4" s="1161"/>
      <c r="H4" s="1161"/>
      <c r="I4" s="1161"/>
      <c r="J4" s="1162"/>
    </row>
    <row r="5" spans="1:43" ht="27" hidden="1" customHeight="1" x14ac:dyDescent="0.3">
      <c r="B5" s="1237" t="s">
        <v>1585</v>
      </c>
      <c r="C5" s="1238"/>
      <c r="D5" s="1238"/>
      <c r="E5" s="1238"/>
      <c r="F5" s="1238"/>
      <c r="G5" s="1238"/>
      <c r="H5" s="1238"/>
      <c r="I5" s="1238"/>
      <c r="J5" s="1239"/>
    </row>
    <row r="6" spans="1:43" ht="27" hidden="1" customHeight="1" x14ac:dyDescent="0.3">
      <c r="B6" s="960"/>
      <c r="C6" s="961"/>
      <c r="D6" s="961"/>
      <c r="E6" s="961"/>
      <c r="F6" s="961"/>
      <c r="G6" s="961"/>
      <c r="H6" s="961"/>
      <c r="I6" s="961"/>
      <c r="J6" s="962"/>
    </row>
    <row r="7" spans="1:43" ht="25.35" customHeight="1" thickBot="1" x14ac:dyDescent="0.35">
      <c r="B7" s="1166" t="s">
        <v>874</v>
      </c>
      <c r="C7" s="1164"/>
      <c r="D7" s="1164"/>
      <c r="E7" s="1164"/>
      <c r="F7" s="1164"/>
      <c r="G7" s="1164"/>
      <c r="H7" s="1164"/>
      <c r="I7" s="1164"/>
      <c r="J7" s="1165"/>
    </row>
    <row r="8" spans="1:43" ht="39" hidden="1" customHeight="1" thickBot="1" x14ac:dyDescent="0.35">
      <c r="B8" s="199"/>
      <c r="C8" s="200"/>
      <c r="D8" s="201" t="s">
        <v>875</v>
      </c>
      <c r="E8" s="202"/>
      <c r="F8" s="203"/>
      <c r="G8" s="203"/>
      <c r="H8" s="203"/>
      <c r="I8" s="203"/>
      <c r="J8" s="204"/>
    </row>
    <row r="9" spans="1:43" s="205" customFormat="1" ht="15" hidden="1" thickBot="1" x14ac:dyDescent="0.35">
      <c r="B9" s="206"/>
      <c r="C9" s="207"/>
      <c r="D9" s="256" t="s">
        <v>748</v>
      </c>
      <c r="E9" s="208"/>
      <c r="F9" s="208"/>
      <c r="G9" s="208"/>
      <c r="H9" s="209"/>
      <c r="I9" s="209"/>
      <c r="J9" s="210"/>
      <c r="K9"/>
      <c r="L9"/>
      <c r="M9"/>
      <c r="N9"/>
      <c r="O9"/>
      <c r="P9"/>
      <c r="Q9"/>
      <c r="R9"/>
      <c r="S9"/>
      <c r="T9"/>
      <c r="U9"/>
      <c r="V9"/>
      <c r="W9"/>
      <c r="X9"/>
      <c r="Y9"/>
      <c r="Z9"/>
      <c r="AA9"/>
      <c r="AB9"/>
      <c r="AC9"/>
      <c r="AD9"/>
      <c r="AE9"/>
      <c r="AF9"/>
      <c r="AG9"/>
      <c r="AH9"/>
      <c r="AI9"/>
      <c r="AJ9"/>
      <c r="AK9"/>
      <c r="AL9"/>
      <c r="AM9"/>
      <c r="AN9"/>
      <c r="AO9"/>
      <c r="AP9"/>
      <c r="AQ9" s="195"/>
    </row>
    <row r="10" spans="1:43" ht="19.5" hidden="1" customHeight="1" thickBot="1" x14ac:dyDescent="0.35">
      <c r="B10" s="211"/>
      <c r="C10" s="212"/>
      <c r="D10" s="306" t="s">
        <v>1127</v>
      </c>
      <c r="E10" s="1204" t="s">
        <v>876</v>
      </c>
      <c r="F10" s="1204"/>
      <c r="G10" s="1198"/>
      <c r="H10" s="1199"/>
      <c r="I10" s="1200"/>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307" t="s">
        <v>1128</v>
      </c>
      <c r="E12" s="1204" t="s">
        <v>1328</v>
      </c>
      <c r="F12" s="1204"/>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204" t="s">
        <v>877</v>
      </c>
      <c r="F14" s="1204"/>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1053</v>
      </c>
      <c r="E16" s="1218" t="s">
        <v>878</v>
      </c>
      <c r="F16" s="1218"/>
      <c r="G16" s="1219"/>
      <c r="H16" s="1199"/>
      <c r="I16" s="1200"/>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1054</v>
      </c>
      <c r="E18" s="1218" t="s">
        <v>879</v>
      </c>
      <c r="F18" s="1218"/>
      <c r="G18" s="1198"/>
      <c r="H18" s="1199"/>
      <c r="I18" s="1200"/>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1055</v>
      </c>
      <c r="E20" s="1218" t="s">
        <v>880</v>
      </c>
      <c r="F20" s="1218"/>
      <c r="G20" s="1198"/>
      <c r="H20" s="1199"/>
      <c r="I20" s="1200"/>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1056</v>
      </c>
      <c r="E22" s="1218" t="s">
        <v>881</v>
      </c>
      <c r="F22" s="1218"/>
      <c r="G22" s="1219"/>
      <c r="H22" s="1199"/>
      <c r="I22" s="1200"/>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1057</v>
      </c>
      <c r="E24" s="1218" t="s">
        <v>882</v>
      </c>
      <c r="F24" s="1218"/>
      <c r="G24" s="1219"/>
      <c r="H24" s="1199"/>
      <c r="I24" s="1200"/>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1129</v>
      </c>
      <c r="E26" s="1204" t="s">
        <v>883</v>
      </c>
      <c r="F26" s="1204"/>
      <c r="G26" s="1220"/>
      <c r="H26" s="1221"/>
      <c r="I26" s="219"/>
      <c r="J26" s="213"/>
    </row>
    <row r="27" spans="2:10" ht="28.5" hidden="1" customHeight="1" thickBot="1" x14ac:dyDescent="0.35">
      <c r="B27" s="211"/>
      <c r="C27" s="212"/>
      <c r="D27" s="262"/>
      <c r="E27" s="1222" t="str">
        <f>IF(G26="Housing Authority", CONCATENATE("SKIP Questions ",D28,"-",D66),"")</f>
        <v/>
      </c>
      <c r="F27" s="1222"/>
      <c r="G27" s="1222"/>
      <c r="H27" s="1222"/>
      <c r="I27" s="219"/>
      <c r="J27" s="213"/>
    </row>
    <row r="28" spans="2:10" ht="28.5" hidden="1" customHeight="1" thickBot="1" x14ac:dyDescent="0.35">
      <c r="B28" s="211"/>
      <c r="C28" s="212"/>
      <c r="D28" s="262" t="s">
        <v>1059</v>
      </c>
      <c r="E28" s="1204" t="s">
        <v>884</v>
      </c>
      <c r="F28" s="1204"/>
      <c r="G28" s="220"/>
      <c r="H28" s="1223">
        <f>+O28</f>
        <v>0</v>
      </c>
      <c r="I28" s="1224"/>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1058</v>
      </c>
      <c r="E30" s="1204" t="s">
        <v>885</v>
      </c>
      <c r="F30" s="1204"/>
      <c r="G30" s="223"/>
      <c r="H30" s="1225"/>
      <c r="I30" s="1225"/>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1060</v>
      </c>
      <c r="E32" s="1226" t="s">
        <v>886</v>
      </c>
      <c r="F32" s="1227"/>
      <c r="G32" s="1215"/>
      <c r="H32" s="1216"/>
      <c r="I32" s="1217"/>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1061</v>
      </c>
      <c r="E34" s="217" t="s">
        <v>887</v>
      </c>
      <c r="F34" s="217"/>
      <c r="G34" s="1198"/>
      <c r="H34" s="1199"/>
      <c r="I34" s="1200"/>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1062</v>
      </c>
      <c r="E36" s="1204" t="s">
        <v>888</v>
      </c>
      <c r="F36" s="1210"/>
      <c r="G36" s="1198"/>
      <c r="H36" s="1199"/>
      <c r="I36" s="1200"/>
      <c r="J36" s="213"/>
    </row>
    <row r="37" spans="2:10" ht="8.25" hidden="1" customHeight="1" thickBot="1" x14ac:dyDescent="0.35">
      <c r="B37" s="211"/>
      <c r="C37" s="212"/>
      <c r="D37" s="256"/>
      <c r="E37" s="1211"/>
      <c r="F37" s="1211"/>
      <c r="G37" s="1211"/>
      <c r="H37" s="1211"/>
      <c r="I37" s="219"/>
      <c r="J37" s="213"/>
    </row>
    <row r="38" spans="2:10" ht="39" customHeight="1" thickBot="1" x14ac:dyDescent="0.35">
      <c r="B38" s="1212" t="s">
        <v>1584</v>
      </c>
      <c r="C38" s="1213"/>
      <c r="D38" s="1213"/>
      <c r="E38" s="1213"/>
      <c r="F38" s="1213"/>
      <c r="G38" s="1213"/>
      <c r="H38" s="1213"/>
      <c r="I38" s="1213"/>
      <c r="J38" s="1214"/>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204" t="s">
        <v>889</v>
      </c>
      <c r="F41" s="1204"/>
      <c r="G41" s="220"/>
      <c r="H41" s="303"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204" t="s">
        <v>890</v>
      </c>
      <c r="F43" s="1204"/>
      <c r="G43" s="220"/>
      <c r="H43" s="303"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204" t="s">
        <v>891</v>
      </c>
      <c r="F45" s="1204"/>
      <c r="G45" s="220"/>
      <c r="H45" s="303"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204" t="s">
        <v>892</v>
      </c>
      <c r="F47" s="1204"/>
      <c r="G47" s="220"/>
      <c r="H47" s="303"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204" t="s">
        <v>893</v>
      </c>
      <c r="F49" s="1204"/>
      <c r="G49" s="225"/>
      <c r="H49" s="303"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204" t="s">
        <v>894</v>
      </c>
      <c r="F51" s="1204"/>
      <c r="G51" s="225"/>
      <c r="H51" s="303" t="str">
        <f>IF(G51="","This Question must be answered before uploading, the report will not be processed if left blank","")</f>
        <v>This Question must be answered before uploading, the report will not be processed if left blank</v>
      </c>
      <c r="I51" s="226"/>
      <c r="J51" s="227"/>
    </row>
    <row r="52" spans="2:43" ht="9.75" customHeight="1" thickBot="1" x14ac:dyDescent="0.35">
      <c r="B52" s="211"/>
      <c r="C52" s="212"/>
      <c r="D52" s="257"/>
      <c r="E52" s="208"/>
      <c r="F52" s="208"/>
      <c r="G52" s="212"/>
      <c r="H52" s="212"/>
      <c r="I52" s="212"/>
      <c r="J52" s="213"/>
    </row>
    <row r="53" spans="2:43" ht="35.1" customHeight="1" thickBot="1" x14ac:dyDescent="0.35">
      <c r="B53" s="211"/>
      <c r="C53" s="212"/>
      <c r="D53" s="256">
        <v>959</v>
      </c>
      <c r="E53" s="1209" t="s">
        <v>1321</v>
      </c>
      <c r="F53" s="1209"/>
      <c r="G53" s="220"/>
      <c r="H53" s="303" t="str">
        <f>IF(G53="","This Question must be answered before uploading, the report will not be processed if left blank","")</f>
        <v>This Question must be answered before uploading, the report will not be processed if left blank</v>
      </c>
      <c r="I53" s="212"/>
      <c r="J53" s="213"/>
    </row>
    <row r="54" spans="2:43" ht="8.25" customHeight="1" thickBot="1" x14ac:dyDescent="0.35">
      <c r="B54" s="211"/>
      <c r="C54" s="212"/>
      <c r="D54" s="256"/>
      <c r="E54" s="382"/>
      <c r="F54" s="382"/>
      <c r="G54" s="212"/>
      <c r="H54" s="212"/>
      <c r="I54" s="212"/>
      <c r="J54" s="213"/>
    </row>
    <row r="55" spans="2:43" ht="67.5" customHeight="1" thickBot="1" x14ac:dyDescent="0.35">
      <c r="B55" s="211"/>
      <c r="C55" s="228"/>
      <c r="D55" s="256">
        <v>973</v>
      </c>
      <c r="E55" s="1209" t="s">
        <v>1395</v>
      </c>
      <c r="F55" s="1209"/>
      <c r="G55" s="387"/>
      <c r="H55" s="303" t="str">
        <f>IF(G55="","This Question must be answered before uploading, the report will not be processed if left blank","")</f>
        <v>This Question must be answered before uploading, the report will not be processed if left blank</v>
      </c>
      <c r="I55" s="281"/>
      <c r="J55" s="213"/>
    </row>
    <row r="56" spans="2:43" ht="7.5" customHeight="1" thickBot="1" x14ac:dyDescent="0.35">
      <c r="B56" s="211"/>
      <c r="C56" s="212"/>
      <c r="D56" s="256"/>
      <c r="E56" s="304"/>
      <c r="F56" s="304"/>
      <c r="G56" s="221"/>
      <c r="H56" s="212"/>
      <c r="I56" s="212"/>
      <c r="J56" s="213"/>
    </row>
    <row r="57" spans="2:43" ht="98.25" customHeight="1" thickBot="1" x14ac:dyDescent="0.35">
      <c r="B57" s="211"/>
      <c r="C57" s="212"/>
      <c r="D57" s="256">
        <v>974</v>
      </c>
      <c r="E57" s="1204" t="s">
        <v>1325</v>
      </c>
      <c r="F57" s="1205"/>
      <c r="G57" s="220"/>
      <c r="H57" s="302" t="str">
        <f>IF(G57="","This Question must be answered before uploading, the report will not be processed if left blank","")</f>
        <v>This Question must be answered before uploading, the report will not be processed if left blank</v>
      </c>
      <c r="I57" s="229"/>
      <c r="J57" s="213"/>
    </row>
    <row r="58" spans="2:43" ht="37.799999999999997" hidden="1" customHeight="1" x14ac:dyDescent="0.3">
      <c r="B58" s="211"/>
      <c r="C58" s="212"/>
      <c r="D58" s="256"/>
      <c r="E58" s="217"/>
      <c r="F58" s="217"/>
      <c r="G58" s="221"/>
      <c r="H58" s="212"/>
      <c r="I58" s="212"/>
      <c r="J58" s="213"/>
    </row>
    <row r="59" spans="2:43" ht="37.799999999999997" hidden="1" customHeight="1" thickBot="1" x14ac:dyDescent="0.3">
      <c r="B59" s="211"/>
      <c r="C59" s="212"/>
      <c r="D59" s="256"/>
      <c r="E59" s="217"/>
      <c r="F59" s="217"/>
      <c r="G59" s="221"/>
      <c r="H59" s="208"/>
      <c r="I59" s="212"/>
      <c r="J59" s="213"/>
    </row>
    <row r="60" spans="2:43" ht="24.6" hidden="1" customHeight="1" thickBot="1" x14ac:dyDescent="0.35">
      <c r="B60" s="211"/>
      <c r="C60" s="212"/>
      <c r="D60" s="256">
        <v>965</v>
      </c>
      <c r="E60" s="1204" t="s">
        <v>895</v>
      </c>
      <c r="F60" s="1204"/>
      <c r="G60" s="223"/>
      <c r="H60" s="303" t="str">
        <f>IF(G60="","This Question must be answered before uploading, the report will not be processed if left blank","")</f>
        <v>This Question must be answered before uploading, the report will not be processed if left blank</v>
      </c>
      <c r="I60" s="222"/>
      <c r="J60" s="213"/>
    </row>
    <row r="61" spans="2:43" ht="12"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1130</v>
      </c>
      <c r="E62" s="232" t="s">
        <v>896</v>
      </c>
      <c r="F62" s="233" t="str">
        <f>IF(G62="Yes", "Please Submit Management Letter","")</f>
        <v/>
      </c>
      <c r="G62" s="220"/>
      <c r="H62" s="303" t="str">
        <f>IF(G62="","This Question must be answered before uploading, the report will not be processed if left blank","")</f>
        <v>This Question must be answered before uploading, the report will not be processed if left blank</v>
      </c>
      <c r="I62" s="280"/>
      <c r="J62" s="213"/>
      <c r="K62"/>
      <c r="L62"/>
      <c r="M62"/>
      <c r="N62"/>
      <c r="O62"/>
      <c r="P62"/>
      <c r="Q62"/>
      <c r="R62"/>
      <c r="S62"/>
      <c r="T62"/>
      <c r="U62"/>
      <c r="V62"/>
      <c r="W62"/>
      <c r="X62"/>
      <c r="Y62"/>
      <c r="Z62"/>
      <c r="AA62"/>
      <c r="AB62"/>
      <c r="AC62"/>
      <c r="AD62"/>
      <c r="AE62"/>
      <c r="AF62"/>
      <c r="AG62"/>
      <c r="AH62"/>
      <c r="AI62"/>
      <c r="AJ62"/>
      <c r="AK62"/>
      <c r="AL62"/>
      <c r="AM62"/>
      <c r="AN62"/>
      <c r="AO62"/>
      <c r="AP62"/>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c r="AO63"/>
      <c r="AP63"/>
      <c r="AQ63" s="224"/>
    </row>
    <row r="64" spans="2:43" s="234" customFormat="1" ht="31.5" customHeight="1" thickBot="1" x14ac:dyDescent="0.35">
      <c r="B64" s="230"/>
      <c r="C64" s="231"/>
      <c r="D64" s="256" t="s">
        <v>1131</v>
      </c>
      <c r="E64" s="232" t="s">
        <v>897</v>
      </c>
      <c r="F64" s="233" t="str">
        <f>IF(G64="Yes", "Please Submit AU-C 260 Letter","")</f>
        <v/>
      </c>
      <c r="G64" s="220"/>
      <c r="H64" s="303" t="str">
        <f>IF(G64="","This Question must be answered before uploading, the report will not be processed if left blank","")</f>
        <v>This Question must be answered before uploading, the report will not be processed if left blank</v>
      </c>
      <c r="I64" s="280"/>
      <c r="J64" s="213"/>
      <c r="K64"/>
      <c r="L64"/>
      <c r="M64"/>
      <c r="N64"/>
      <c r="O64"/>
      <c r="P64"/>
      <c r="Q64"/>
      <c r="R64"/>
      <c r="S64"/>
      <c r="T64"/>
      <c r="U64"/>
      <c r="V64"/>
      <c r="W64"/>
      <c r="X64"/>
      <c r="Y64"/>
      <c r="Z64"/>
      <c r="AA64"/>
      <c r="AB64"/>
      <c r="AC64"/>
      <c r="AD64"/>
      <c r="AE64"/>
      <c r="AF64"/>
      <c r="AG64"/>
      <c r="AH64"/>
      <c r="AI64"/>
      <c r="AJ64"/>
      <c r="AK64"/>
      <c r="AL64"/>
      <c r="AM64"/>
      <c r="AN64"/>
      <c r="AO64"/>
      <c r="AP6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c r="AO65"/>
      <c r="AP65"/>
      <c r="AQ65" s="224"/>
    </row>
    <row r="66" spans="2:43" s="234" customFormat="1" ht="33.75" customHeight="1" thickBot="1" x14ac:dyDescent="0.35">
      <c r="B66" s="230"/>
      <c r="C66" s="231"/>
      <c r="D66" s="256" t="s">
        <v>1132</v>
      </c>
      <c r="E66" s="232" t="s">
        <v>898</v>
      </c>
      <c r="F66" s="233" t="str">
        <f>IF(G66="Yes", "Please Submit AU-C 265 Letter","")</f>
        <v/>
      </c>
      <c r="G66" s="220"/>
      <c r="H66" s="303" t="str">
        <f>IF(G66="","This Question must be answered before uploading, the report will not be processed if left blank","")</f>
        <v>This Question must be answered before uploading, the report will not be processed if left blank</v>
      </c>
      <c r="I66" s="280"/>
      <c r="J66" s="213"/>
      <c r="K66"/>
      <c r="L66"/>
      <c r="M66"/>
      <c r="N66"/>
      <c r="O66"/>
      <c r="P66"/>
      <c r="Q66"/>
      <c r="R66"/>
      <c r="S66"/>
      <c r="T66"/>
      <c r="U66"/>
      <c r="V66"/>
      <c r="W66"/>
      <c r="X66"/>
      <c r="Y66"/>
      <c r="Z66"/>
      <c r="AA66"/>
      <c r="AB66"/>
      <c r="AC66"/>
      <c r="AD66"/>
      <c r="AE66"/>
      <c r="AF66"/>
      <c r="AG66"/>
      <c r="AH66"/>
      <c r="AI66"/>
      <c r="AJ66"/>
      <c r="AK66"/>
      <c r="AL66"/>
      <c r="AM66"/>
      <c r="AN66"/>
      <c r="AO66"/>
      <c r="AP66"/>
      <c r="AQ66" s="224"/>
    </row>
    <row r="67" spans="2:43" ht="6.75" customHeight="1" thickBot="1" x14ac:dyDescent="0.35">
      <c r="B67" s="211"/>
      <c r="C67" s="212"/>
      <c r="D67" s="257"/>
      <c r="E67" s="238"/>
      <c r="F67" s="238"/>
      <c r="G67" s="215"/>
      <c r="H67" s="208"/>
      <c r="I67" s="208"/>
      <c r="J67" s="213"/>
    </row>
    <row r="68" spans="2:43" s="234" customFormat="1" ht="35.25" customHeight="1" thickBot="1" x14ac:dyDescent="0.35">
      <c r="B68" s="230"/>
      <c r="C68" s="215"/>
      <c r="D68" s="390">
        <v>977</v>
      </c>
      <c r="E68" s="1206" t="s">
        <v>1306</v>
      </c>
      <c r="F68" s="1207"/>
      <c r="G68" s="388"/>
      <c r="H68" s="303"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c r="AO68"/>
      <c r="AP68"/>
      <c r="AQ68" s="224"/>
    </row>
    <row r="69" spans="2:43" s="234" customFormat="1" ht="8.25" customHeight="1" thickBot="1" x14ac:dyDescent="0.35">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c r="AO69"/>
      <c r="AP69"/>
      <c r="AQ69" s="224"/>
    </row>
    <row r="70" spans="2:43" s="234" customFormat="1" ht="30" customHeight="1" thickBot="1" x14ac:dyDescent="0.35">
      <c r="B70" s="230"/>
      <c r="C70" s="215"/>
      <c r="D70" s="390">
        <v>978</v>
      </c>
      <c r="E70" s="1206" t="s">
        <v>1064</v>
      </c>
      <c r="F70" s="1207"/>
      <c r="G70" s="388"/>
      <c r="H70" s="303"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c r="AO70"/>
      <c r="AP70"/>
      <c r="AQ70" s="224"/>
    </row>
    <row r="71" spans="2:43" s="234" customFormat="1" ht="8.25" customHeight="1" thickBot="1" x14ac:dyDescent="0.35">
      <c r="B71" s="230"/>
      <c r="C71" s="215"/>
      <c r="D71" s="390"/>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c r="AO71"/>
      <c r="AP71"/>
      <c r="AQ71" s="224"/>
    </row>
    <row r="72" spans="2:43" s="234" customFormat="1" ht="36.75" customHeight="1" thickBot="1" x14ac:dyDescent="0.35">
      <c r="B72" s="230"/>
      <c r="C72" s="215"/>
      <c r="D72" s="390">
        <v>979</v>
      </c>
      <c r="E72" s="1206" t="s">
        <v>1682</v>
      </c>
      <c r="F72" s="1207"/>
      <c r="G72" s="388"/>
      <c r="H72" s="303"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c r="AO72"/>
      <c r="AP72"/>
      <c r="AQ72" s="224"/>
    </row>
    <row r="73" spans="2:43" s="266" customFormat="1" ht="6.75"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c r="AO73"/>
      <c r="AP73"/>
      <c r="AQ73" s="267"/>
    </row>
    <row r="74" spans="2:43" s="234" customFormat="1" ht="39" customHeight="1" thickBot="1" x14ac:dyDescent="0.35">
      <c r="B74" s="230"/>
      <c r="C74" s="215"/>
      <c r="D74" s="390">
        <v>980</v>
      </c>
      <c r="E74" s="1208" t="s">
        <v>1063</v>
      </c>
      <c r="F74" s="1208"/>
      <c r="G74" s="389"/>
      <c r="H74" s="303" t="str">
        <f>IF(G74="","This Question must be answered before uploading, the report will not be processed if left blank","")</f>
        <v>This Question must be answered before uploading, the report will not be processed if left blank</v>
      </c>
      <c r="I74" s="222"/>
      <c r="J74" s="213"/>
      <c r="K74"/>
      <c r="L74"/>
      <c r="M74"/>
      <c r="N74"/>
      <c r="O74"/>
      <c r="P74"/>
      <c r="Q74"/>
      <c r="R74"/>
      <c r="S74"/>
      <c r="T74"/>
      <c r="U74"/>
      <c r="V74"/>
      <c r="W74"/>
      <c r="X74"/>
      <c r="Y74"/>
      <c r="Z74"/>
      <c r="AA74"/>
      <c r="AB74"/>
      <c r="AC74"/>
      <c r="AD74"/>
      <c r="AE74"/>
      <c r="AF74"/>
      <c r="AG74"/>
      <c r="AH74"/>
      <c r="AI74"/>
      <c r="AJ74"/>
      <c r="AK74"/>
      <c r="AL74"/>
      <c r="AM74"/>
      <c r="AN74"/>
      <c r="AO74"/>
      <c r="AP74"/>
      <c r="AQ74" s="224"/>
    </row>
    <row r="75" spans="2:43" s="266" customFormat="1" ht="6.75" customHeight="1" thickBot="1" x14ac:dyDescent="0.35">
      <c r="B75" s="230"/>
      <c r="C75" s="215"/>
      <c r="D75" s="256"/>
      <c r="E75" s="1139"/>
      <c r="F75" s="265"/>
      <c r="G75" s="221"/>
      <c r="H75" s="1138"/>
      <c r="I75" s="222"/>
      <c r="J75" s="213"/>
      <c r="K75"/>
      <c r="L75"/>
      <c r="M75"/>
      <c r="N75"/>
      <c r="O75"/>
      <c r="P75"/>
      <c r="Q75"/>
      <c r="R75"/>
      <c r="S75"/>
      <c r="T75"/>
      <c r="U75"/>
      <c r="V75"/>
      <c r="W75"/>
      <c r="X75"/>
      <c r="Y75"/>
      <c r="Z75"/>
      <c r="AA75"/>
      <c r="AB75"/>
      <c r="AC75"/>
      <c r="AD75"/>
      <c r="AE75"/>
      <c r="AF75"/>
      <c r="AG75"/>
      <c r="AH75"/>
      <c r="AI75"/>
      <c r="AJ75"/>
      <c r="AK75"/>
      <c r="AL75"/>
      <c r="AM75"/>
      <c r="AN75"/>
      <c r="AO75"/>
      <c r="AP75"/>
      <c r="AQ75" s="267"/>
    </row>
    <row r="76" spans="2:43" ht="32.25" customHeight="1" thickBot="1" x14ac:dyDescent="0.35">
      <c r="B76" s="211"/>
      <c r="C76" s="228"/>
      <c r="D76" s="256">
        <v>975</v>
      </c>
      <c r="E76" s="1204" t="s">
        <v>1066</v>
      </c>
      <c r="F76" s="1205"/>
      <c r="G76" s="220"/>
      <c r="H76" s="302" t="str">
        <f>IF(G76="","This Question must be answered before uploading, the report will not be processed if left blank","")</f>
        <v>This Question must be answered before uploading, the report will not be processed if left blank</v>
      </c>
      <c r="I76" s="226"/>
      <c r="J76" s="227"/>
    </row>
    <row r="77" spans="2:43" ht="6.75" customHeight="1" thickBot="1" x14ac:dyDescent="0.35">
      <c r="B77" s="211"/>
      <c r="C77" s="228"/>
      <c r="D77" s="259"/>
      <c r="E77" s="208"/>
      <c r="F77" s="208"/>
      <c r="G77" s="255"/>
      <c r="H77" s="212"/>
      <c r="I77" s="212"/>
      <c r="J77" s="213"/>
    </row>
    <row r="78" spans="2:43" ht="61.5" customHeight="1" thickBot="1" x14ac:dyDescent="0.35">
      <c r="B78" s="211"/>
      <c r="C78" s="228"/>
      <c r="D78" s="256">
        <v>976</v>
      </c>
      <c r="E78" s="1204" t="s">
        <v>1278</v>
      </c>
      <c r="F78" s="1205"/>
      <c r="G78" s="220"/>
      <c r="H78" s="302" t="str">
        <f>IF(G78="","This Question must be answered before uploading, the report will not be processed if left blank","")</f>
        <v>This Question must be answered before uploading, the report will not be processed if left blank</v>
      </c>
      <c r="I78" s="226"/>
      <c r="J78" s="227"/>
    </row>
    <row r="79" spans="2:43" ht="39" customHeight="1" thickBot="1" x14ac:dyDescent="0.35">
      <c r="B79" s="199"/>
      <c r="C79" s="200"/>
      <c r="D79" s="201"/>
      <c r="E79" s="202"/>
      <c r="F79" s="203"/>
      <c r="G79" s="276"/>
      <c r="H79" s="203"/>
      <c r="I79" s="203"/>
      <c r="J79" s="204"/>
    </row>
    <row r="80" spans="2:43" ht="10.5" customHeight="1" thickBot="1" x14ac:dyDescent="0.35">
      <c r="B80" s="211"/>
      <c r="C80" s="212"/>
      <c r="D80" s="257"/>
      <c r="E80" s="208"/>
      <c r="F80" s="208"/>
      <c r="G80" s="215"/>
      <c r="H80" s="212"/>
      <c r="I80" s="212"/>
      <c r="J80" s="213"/>
    </row>
    <row r="81" spans="1:10" ht="36.6" customHeight="1" thickBot="1" x14ac:dyDescent="0.35">
      <c r="B81" s="211"/>
      <c r="C81" s="212"/>
      <c r="D81" s="257" t="s">
        <v>1133</v>
      </c>
      <c r="E81" s="1178" t="str">
        <f>IF(G81="","This Question must be answered before uploading, the report will not be processed if left blank","")</f>
        <v>This Question must be answered before uploading, the report will not be processed if left blank</v>
      </c>
      <c r="F81" s="1177" t="s">
        <v>899</v>
      </c>
      <c r="G81" s="1198"/>
      <c r="H81" s="1199"/>
      <c r="I81" s="1200"/>
      <c r="J81" s="213"/>
    </row>
    <row r="82" spans="1:10" ht="6.75" customHeight="1" thickBot="1" x14ac:dyDescent="0.35">
      <c r="B82" s="211"/>
      <c r="C82" s="212"/>
      <c r="D82" s="257"/>
      <c r="E82" s="238"/>
      <c r="F82" s="238"/>
      <c r="G82" s="215"/>
      <c r="H82" s="215"/>
      <c r="I82" s="215"/>
      <c r="J82" s="213"/>
    </row>
    <row r="83" spans="1:10" ht="37.799999999999997" customHeight="1" thickBot="1" x14ac:dyDescent="0.35">
      <c r="B83" s="211"/>
      <c r="C83" s="212"/>
      <c r="D83" s="257" t="s">
        <v>1134</v>
      </c>
      <c r="E83" s="1178" t="str">
        <f>IF(G83="","This Question must be answered before uploading, the report will not be processed if left blank","")</f>
        <v>This Question must be answered before uploading, the report will not be processed if left blank</v>
      </c>
      <c r="F83" s="1177" t="s">
        <v>900</v>
      </c>
      <c r="G83" s="1198"/>
      <c r="H83" s="1199"/>
      <c r="I83" s="1200"/>
      <c r="J83" s="213"/>
    </row>
    <row r="84" spans="1:10" ht="6.75" customHeight="1" thickBot="1" x14ac:dyDescent="0.35">
      <c r="B84" s="211"/>
      <c r="C84" s="212"/>
      <c r="D84" s="257"/>
      <c r="E84" s="238"/>
      <c r="F84" s="238"/>
      <c r="G84" s="239"/>
      <c r="H84" s="215"/>
      <c r="I84" s="215"/>
      <c r="J84" s="213"/>
    </row>
    <row r="85" spans="1:10" ht="34.200000000000003" customHeight="1" thickBot="1" x14ac:dyDescent="0.35">
      <c r="B85" s="211"/>
      <c r="C85" s="212"/>
      <c r="D85" s="257" t="s">
        <v>1802</v>
      </c>
      <c r="E85" s="1178" t="str">
        <f>IF(G85="","This Question must be answered before uploading, the report will not be processed if left blank","")</f>
        <v>This Question must be answered before uploading, the report will not be processed if left blank</v>
      </c>
      <c r="F85" s="1177" t="s">
        <v>1329</v>
      </c>
      <c r="G85" s="216"/>
      <c r="H85" s="215"/>
      <c r="I85" s="215"/>
      <c r="J85" s="213"/>
    </row>
    <row r="86" spans="1:10" ht="6.75" customHeight="1" x14ac:dyDescent="0.3">
      <c r="B86" s="211"/>
      <c r="C86" s="212"/>
      <c r="D86" s="257"/>
      <c r="E86" s="238"/>
      <c r="F86" s="238"/>
      <c r="G86" s="215"/>
      <c r="H86" s="215"/>
      <c r="I86" s="215"/>
      <c r="J86" s="213"/>
    </row>
    <row r="87" spans="1:10" ht="30" hidden="1" customHeight="1" x14ac:dyDescent="0.3">
      <c r="B87" s="211"/>
      <c r="C87" s="212"/>
      <c r="D87" s="257"/>
      <c r="E87" s="1201"/>
      <c r="F87" s="1201"/>
      <c r="G87" s="240" t="str">
        <f>CONCATENATE(G10," 2021 TD.xlsx")</f>
        <v xml:space="preserve"> 2021 TD.xlsx</v>
      </c>
      <c r="H87" s="240"/>
      <c r="I87" s="241"/>
      <c r="J87" s="213"/>
    </row>
    <row r="88" spans="1:10" ht="11.4" customHeight="1" x14ac:dyDescent="0.3">
      <c r="B88" s="211"/>
      <c r="C88" s="212"/>
      <c r="D88" s="1202"/>
      <c r="E88" s="1202"/>
      <c r="F88" s="1202"/>
      <c r="G88" s="1203" t="str">
        <f>IF(G11="","","Please review the Transmittal Instructions and your answer to Question 1")</f>
        <v/>
      </c>
      <c r="H88" s="1203"/>
      <c r="I88" s="1203"/>
      <c r="J88" s="213"/>
    </row>
    <row r="89" spans="1:10" ht="12.6" customHeight="1" x14ac:dyDescent="0.3">
      <c r="B89" s="211"/>
      <c r="C89" s="212"/>
      <c r="D89" s="1202"/>
      <c r="E89" s="1202"/>
      <c r="F89" s="1202"/>
      <c r="G89" s="1203" t="str">
        <f>IF(G88="Currently the file name is incorrect, please correct before uploading",CONCATENATE("File current name is ",O89),"")</f>
        <v/>
      </c>
      <c r="H89" s="1203"/>
      <c r="I89" s="242"/>
      <c r="J89" s="243"/>
    </row>
    <row r="90" spans="1:10" ht="6.75" customHeight="1" thickBot="1" x14ac:dyDescent="0.35">
      <c r="B90" s="244"/>
      <c r="C90" s="245"/>
      <c r="D90" s="260"/>
      <c r="E90" s="246"/>
      <c r="F90" s="246"/>
      <c r="G90" s="247"/>
      <c r="H90" s="247"/>
      <c r="I90" s="247"/>
      <c r="J90" s="248"/>
    </row>
    <row r="93" spans="1:10" x14ac:dyDescent="0.3">
      <c r="B93" s="194" t="s">
        <v>901</v>
      </c>
      <c r="D93" s="198"/>
      <c r="E93" s="250">
        <v>1.01</v>
      </c>
      <c r="F93" s="251"/>
    </row>
    <row r="94" spans="1:10" x14ac:dyDescent="0.3">
      <c r="A94" s="198"/>
      <c r="B94" s="194" t="s">
        <v>902</v>
      </c>
      <c r="D94" s="198"/>
      <c r="E94" s="252">
        <v>44427</v>
      </c>
      <c r="F94" s="253"/>
    </row>
    <row r="95" spans="1:10" x14ac:dyDescent="0.3">
      <c r="E95" s="251"/>
      <c r="F95" s="251"/>
    </row>
    <row r="96" spans="1:10" x14ac:dyDescent="0.3">
      <c r="E96" s="261">
        <f>SUBTOTAL(109,D41:D85)</f>
        <v>14400</v>
      </c>
    </row>
  </sheetData>
  <sheetProtection algorithmName="SHA-512" hashValue="XyneMyWsm1cxLc7ZUjtYgeYya8oLkm1Dih6OkW/ABGxbLoAcq0kEP+/8SPqrBmBh5TUvUyBtufy6cjMpl/ntkA==" saltValue="/y77b5C1yH1tjhKdwXqTRA==" spinCount="100000" sheet="1" selectLockedCells="1"/>
  <mergeCells count="54">
    <mergeCell ref="B1:J1"/>
    <mergeCell ref="B2:J2"/>
    <mergeCell ref="B3:J3"/>
    <mergeCell ref="E20:F20"/>
    <mergeCell ref="G20:I20"/>
    <mergeCell ref="E12:F12"/>
    <mergeCell ref="E14:F14"/>
    <mergeCell ref="E16:F16"/>
    <mergeCell ref="G16:I16"/>
    <mergeCell ref="E18:F18"/>
    <mergeCell ref="G18:I18"/>
    <mergeCell ref="E10:F10"/>
    <mergeCell ref="G10:I10"/>
    <mergeCell ref="B5:J5"/>
    <mergeCell ref="G32:I32"/>
    <mergeCell ref="E22:F22"/>
    <mergeCell ref="G22:I22"/>
    <mergeCell ref="E24:F24"/>
    <mergeCell ref="G24:I24"/>
    <mergeCell ref="E26:F26"/>
    <mergeCell ref="G26:H26"/>
    <mergeCell ref="E27:H27"/>
    <mergeCell ref="E28:F28"/>
    <mergeCell ref="H28:I28"/>
    <mergeCell ref="E30:F30"/>
    <mergeCell ref="H30:I30"/>
    <mergeCell ref="E32:F32"/>
    <mergeCell ref="E55:F55"/>
    <mergeCell ref="G34:I34"/>
    <mergeCell ref="E36:F36"/>
    <mergeCell ref="G36:I36"/>
    <mergeCell ref="E37:H37"/>
    <mergeCell ref="B38:J38"/>
    <mergeCell ref="E41:F41"/>
    <mergeCell ref="E43:F43"/>
    <mergeCell ref="E45:F45"/>
    <mergeCell ref="E47:F47"/>
    <mergeCell ref="E49:F49"/>
    <mergeCell ref="E51:F51"/>
    <mergeCell ref="E53:F53"/>
    <mergeCell ref="G81:I81"/>
    <mergeCell ref="E76:F76"/>
    <mergeCell ref="E78:F78"/>
    <mergeCell ref="E57:F57"/>
    <mergeCell ref="E60:F60"/>
    <mergeCell ref="E68:F68"/>
    <mergeCell ref="E70:F70"/>
    <mergeCell ref="E72:F72"/>
    <mergeCell ref="E74:F74"/>
    <mergeCell ref="G83:I83"/>
    <mergeCell ref="E87:F87"/>
    <mergeCell ref="D88:F89"/>
    <mergeCell ref="G88:I88"/>
    <mergeCell ref="G89:H89"/>
  </mergeCells>
  <conditionalFormatting sqref="G10 G41 G43 G45 G47 G49 G57 G66 G60 G51 G78 G76">
    <cfRule type="expression" dxfId="106" priority="41">
      <formula>$T10</formula>
    </cfRule>
  </conditionalFormatting>
  <conditionalFormatting sqref="G10">
    <cfRule type="containsText" priority="40" operator="containsText" text="The, City,Village,of">
      <formula>NOT(ISERROR(SEARCH("The, City,Village,of",G10)))</formula>
    </cfRule>
  </conditionalFormatting>
  <conditionalFormatting sqref="G26">
    <cfRule type="expression" dxfId="105" priority="39">
      <formula>$T26</formula>
    </cfRule>
  </conditionalFormatting>
  <conditionalFormatting sqref="G41 G43 G45 G47 G49 G57 G60 G62 G64 G66 G30 G32 G51:G55 G76:G78">
    <cfRule type="expression" dxfId="104" priority="38">
      <formula>$G$26="Housing Authority"</formula>
    </cfRule>
  </conditionalFormatting>
  <conditionalFormatting sqref="G14">
    <cfRule type="expression" dxfId="103" priority="37">
      <formula>$T14</formula>
    </cfRule>
  </conditionalFormatting>
  <conditionalFormatting sqref="G12">
    <cfRule type="expression" dxfId="102" priority="36">
      <formula>$T12</formula>
    </cfRule>
  </conditionalFormatting>
  <conditionalFormatting sqref="G85">
    <cfRule type="expression" dxfId="101" priority="35">
      <formula>$T85</formula>
    </cfRule>
  </conditionalFormatting>
  <conditionalFormatting sqref="G81">
    <cfRule type="expression" dxfId="100" priority="34">
      <formula>$T81</formula>
    </cfRule>
  </conditionalFormatting>
  <conditionalFormatting sqref="G81">
    <cfRule type="containsText" priority="33" operator="containsText" text="The, City,Village,of">
      <formula>NOT(ISERROR(SEARCH("The, City,Village,of",G81)))</formula>
    </cfRule>
  </conditionalFormatting>
  <conditionalFormatting sqref="G83">
    <cfRule type="expression" dxfId="99" priority="32">
      <formula>$T83</formula>
    </cfRule>
  </conditionalFormatting>
  <conditionalFormatting sqref="G83">
    <cfRule type="containsText" priority="31" operator="containsText" text="The, City,Village,of">
      <formula>NOT(ISERROR(SEARCH("The, City,Village,of",G83)))</formula>
    </cfRule>
  </conditionalFormatting>
  <conditionalFormatting sqref="G18">
    <cfRule type="expression" dxfId="98" priority="30">
      <formula>$T18</formula>
    </cfRule>
  </conditionalFormatting>
  <conditionalFormatting sqref="G18">
    <cfRule type="containsText" priority="29" operator="containsText" text="The, City,Village,of">
      <formula>NOT(ISERROR(SEARCH("The, City,Village,of",G18)))</formula>
    </cfRule>
  </conditionalFormatting>
  <conditionalFormatting sqref="G60">
    <cfRule type="expression" dxfId="97" priority="23">
      <formula>$G$26="Housing Authority"</formula>
    </cfRule>
  </conditionalFormatting>
  <conditionalFormatting sqref="G64">
    <cfRule type="expression" dxfId="96" priority="28">
      <formula>$T64</formula>
    </cfRule>
  </conditionalFormatting>
  <conditionalFormatting sqref="G64">
    <cfRule type="expression" dxfId="95" priority="27">
      <formula>$G$26="Housing Authority"</formula>
    </cfRule>
  </conditionalFormatting>
  <conditionalFormatting sqref="G66">
    <cfRule type="expression" dxfId="94" priority="26">
      <formula>$G$26="Housing Authority"</formula>
    </cfRule>
  </conditionalFormatting>
  <conditionalFormatting sqref="G62">
    <cfRule type="expression" dxfId="93" priority="25">
      <formula>$T62</formula>
    </cfRule>
  </conditionalFormatting>
  <conditionalFormatting sqref="G62">
    <cfRule type="expression" dxfId="92" priority="24">
      <formula>$G$26="Housing Authority"</formula>
    </cfRule>
  </conditionalFormatting>
  <conditionalFormatting sqref="G31">
    <cfRule type="expression" dxfId="91" priority="22">
      <formula>$T31</formula>
    </cfRule>
  </conditionalFormatting>
  <conditionalFormatting sqref="G28">
    <cfRule type="expression" dxfId="90" priority="21">
      <formula>$T28</formula>
    </cfRule>
  </conditionalFormatting>
  <conditionalFormatting sqref="G28">
    <cfRule type="expression" dxfId="89" priority="20">
      <formula>$G$26="Housing Authority"</formula>
    </cfRule>
  </conditionalFormatting>
  <conditionalFormatting sqref="G30">
    <cfRule type="expression" dxfId="88" priority="19">
      <formula>$T30</formula>
    </cfRule>
  </conditionalFormatting>
  <conditionalFormatting sqref="G16">
    <cfRule type="expression" dxfId="87" priority="17">
      <formula>$T16</formula>
    </cfRule>
  </conditionalFormatting>
  <conditionalFormatting sqref="G16">
    <cfRule type="containsText" priority="16" operator="containsText" text="The, City,Village,of">
      <formula>NOT(ISERROR(SEARCH("The, City,Village,of",G16)))</formula>
    </cfRule>
  </conditionalFormatting>
  <conditionalFormatting sqref="G20">
    <cfRule type="expression" dxfId="86" priority="15">
      <formula>$T20</formula>
    </cfRule>
  </conditionalFormatting>
  <conditionalFormatting sqref="G20">
    <cfRule type="containsText" priority="14" operator="containsText" text="The, City,Village,of">
      <formula>NOT(ISERROR(SEARCH("The, City,Village,of",G20)))</formula>
    </cfRule>
  </conditionalFormatting>
  <conditionalFormatting sqref="G22">
    <cfRule type="expression" dxfId="85" priority="13">
      <formula>$T22</formula>
    </cfRule>
  </conditionalFormatting>
  <conditionalFormatting sqref="G22">
    <cfRule type="containsText" priority="12" operator="containsText" text="The, City,Village,of">
      <formula>NOT(ISERROR(SEARCH("The, City,Village,of",G22)))</formula>
    </cfRule>
  </conditionalFormatting>
  <conditionalFormatting sqref="G28">
    <cfRule type="expression" dxfId="84" priority="10">
      <formula>$G$26="Housing Authority"</formula>
    </cfRule>
  </conditionalFormatting>
  <conditionalFormatting sqref="G32">
    <cfRule type="expression" dxfId="83" priority="11">
      <formula>$P$32</formula>
    </cfRule>
    <cfRule type="expression" dxfId="82" priority="18">
      <formula>$T32</formula>
    </cfRule>
  </conditionalFormatting>
  <conditionalFormatting sqref="G36">
    <cfRule type="expression" dxfId="81" priority="7">
      <formula>$G$26="Housing Authority"</formula>
    </cfRule>
  </conditionalFormatting>
  <conditionalFormatting sqref="G36">
    <cfRule type="expression" dxfId="80" priority="8">
      <formula>$P$32</formula>
    </cfRule>
    <cfRule type="expression" dxfId="79" priority="9">
      <formula>$T36</formula>
    </cfRule>
  </conditionalFormatting>
  <conditionalFormatting sqref="G34">
    <cfRule type="expression" dxfId="78" priority="4">
      <formula>$G$26="Housing Authority"</formula>
    </cfRule>
  </conditionalFormatting>
  <conditionalFormatting sqref="G34">
    <cfRule type="expression" dxfId="77" priority="5">
      <formula>$P$32</formula>
    </cfRule>
    <cfRule type="expression" dxfId="76" priority="6">
      <formula>$T34</formula>
    </cfRule>
  </conditionalFormatting>
  <conditionalFormatting sqref="G24">
    <cfRule type="expression" dxfId="75" priority="3">
      <formula>$T24</formula>
    </cfRule>
  </conditionalFormatting>
  <conditionalFormatting sqref="G24">
    <cfRule type="containsText" priority="2" operator="containsText" text="The, City,Village,of">
      <formula>NOT(ISERROR(SEARCH("The, City,Village,of",G24)))</formula>
    </cfRule>
  </conditionalFormatting>
  <conditionalFormatting sqref="G53">
    <cfRule type="expression" dxfId="74" priority="1">
      <formula>$T53</formula>
    </cfRule>
  </conditionalFormatting>
  <dataValidations xWindow="873" yWindow="799" count="26">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77 G54:G55"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3 I68:I80 H76:H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xr:uid="{FA296981-A236-46B7-9FFE-5DC3167CFD46}">
      <formula1>44377</formula1>
    </dataValidation>
    <dataValidation type="date" operator="greaterThan" allowBlank="1" showInputMessage="1" showErrorMessage="1" prompt="MM/DD/YYYY" sqref="G74:G75"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8"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allowBlank="1" showInputMessage="1" showErrorMessage="1" sqref="G76:G78" xr:uid="{090E2109-F792-41B8-9C0F-7251B0F63A94}">
      <formula1>"Yes, No"</formula1>
    </dataValidation>
    <dataValidation type="list" allowBlank="1" showInputMessage="1" showErrorMessage="1" sqref="G76:G78" xr:uid="{3A1F8F6A-4171-4BD6-B093-4BD9ED510426}">
      <formula1>"Yes,No"</formula1>
    </dataValidation>
    <dataValidation type="list" operator="greaterThan" showInputMessage="1" showErrorMessage="1" promptTitle="MM/DD/YYYY" prompt="This cannot be blank" sqref="G76:G78" xr:uid="{BCA97491-0860-4C1C-BBBE-71AAC392CEF5}">
      <formula1>"6/30/2021"</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75" customWidth="1"/>
    <col min="4" max="4" width="20.88671875" style="3" bestFit="1" customWidth="1"/>
    <col min="5" max="5" width="17.5546875" style="3" customWidth="1"/>
    <col min="6" max="6" width="22.6640625" style="3" customWidth="1"/>
    <col min="7" max="7" width="17.44140625" style="572" bestFit="1" customWidth="1"/>
    <col min="8" max="8" width="9.6640625" style="3" bestFit="1" customWidth="1"/>
    <col min="9" max="9" width="1" style="606" customWidth="1"/>
    <col min="10" max="10" width="18.109375" style="5" customWidth="1"/>
    <col min="11" max="11" width="36.88671875" style="9" customWidth="1"/>
    <col min="12" max="12" width="15.44140625" style="683" bestFit="1" customWidth="1"/>
    <col min="13" max="13" width="1.44140625" style="3" customWidth="1"/>
    <col min="14" max="14" width="18.109375" style="3" customWidth="1"/>
    <col min="15" max="15" width="17.88671875" style="3" customWidth="1"/>
    <col min="16" max="16" width="8.6640625" style="298"/>
    <col min="17" max="17" width="10.33203125" style="575"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805</v>
      </c>
      <c r="D1" s="13">
        <f>L65-(L52+L53-L57-L58-L233)-L61</f>
        <v>0</v>
      </c>
      <c r="I1" s="573"/>
      <c r="J1" s="48"/>
      <c r="K1" s="14" t="s">
        <v>47</v>
      </c>
      <c r="L1" s="63"/>
      <c r="M1" s="574"/>
      <c r="S1" s="3">
        <v>100</v>
      </c>
      <c r="T1" s="3">
        <v>1</v>
      </c>
    </row>
    <row r="2" spans="1:25" ht="36" x14ac:dyDescent="0.4">
      <c r="C2" s="74" t="str">
        <f>'Unit Data from Audit Worksheet'!D2</f>
        <v>Select Unit Name from Drop Down List</v>
      </c>
      <c r="D2" s="145">
        <v>2021</v>
      </c>
      <c r="E2" s="12">
        <v>2021</v>
      </c>
      <c r="F2" s="12"/>
      <c r="G2" s="70"/>
      <c r="H2" s="12"/>
      <c r="I2" s="573"/>
      <c r="J2" s="43" t="s">
        <v>43</v>
      </c>
      <c r="K2" s="8" t="s">
        <v>42</v>
      </c>
      <c r="L2" s="68" t="s">
        <v>30</v>
      </c>
      <c r="S2" s="3">
        <v>200</v>
      </c>
      <c r="T2" s="3">
        <v>2</v>
      </c>
    </row>
    <row r="3" spans="1:25" ht="31.2" x14ac:dyDescent="0.3">
      <c r="A3" s="576" t="s">
        <v>43</v>
      </c>
      <c r="B3" s="577"/>
      <c r="C3" s="46" t="s">
        <v>1</v>
      </c>
      <c r="D3" s="15" t="s">
        <v>44</v>
      </c>
      <c r="E3" s="15" t="s">
        <v>45</v>
      </c>
      <c r="F3" s="16" t="s">
        <v>49</v>
      </c>
      <c r="G3" s="75" t="s">
        <v>556</v>
      </c>
      <c r="H3" s="16" t="s">
        <v>697</v>
      </c>
      <c r="I3" s="573"/>
      <c r="J3" s="578"/>
      <c r="K3" s="146"/>
      <c r="L3" s="579"/>
      <c r="O3" s="3" t="s">
        <v>295</v>
      </c>
      <c r="Q3" s="86" t="s">
        <v>557</v>
      </c>
      <c r="S3" s="3">
        <v>300</v>
      </c>
      <c r="T3" s="3">
        <v>3</v>
      </c>
    </row>
    <row r="4" spans="1:25" ht="18" x14ac:dyDescent="0.35">
      <c r="A4" s="580"/>
      <c r="B4" s="581"/>
      <c r="C4" s="50"/>
      <c r="D4" s="7"/>
      <c r="E4" s="7"/>
      <c r="F4" s="7"/>
      <c r="G4" s="71"/>
      <c r="H4" s="7"/>
      <c r="I4" s="573"/>
      <c r="J4" s="45">
        <v>999</v>
      </c>
      <c r="K4" s="11" t="s">
        <v>292</v>
      </c>
      <c r="L4" s="134" t="e">
        <f>'Unit Data from Audit Worksheet'!D3</f>
        <v>#N/A</v>
      </c>
      <c r="S4" s="3">
        <v>400</v>
      </c>
      <c r="T4" s="3">
        <v>4</v>
      </c>
      <c r="W4" s="3" t="b">
        <f t="shared" ref="W4:W35" si="0">EXACT(A4,J4)</f>
        <v>0</v>
      </c>
      <c r="X4" s="582" t="e">
        <f>E4-L4</f>
        <v>#N/A</v>
      </c>
      <c r="Y4" s="582" t="e">
        <f>D4-L4</f>
        <v>#N/A</v>
      </c>
    </row>
    <row r="5" spans="1:25" ht="57" customHeight="1" x14ac:dyDescent="0.3">
      <c r="A5" s="583">
        <f>'Unit Data from Audit Worksheet'!A7</f>
        <v>333</v>
      </c>
      <c r="B5" s="54" t="str">
        <f>'Unit Data from Audit Worksheet'!C7</f>
        <v>Net Position-Governmental Activities</v>
      </c>
      <c r="C5" s="584" t="str">
        <f>'Unit Data from Audit Worksheet'!D7</f>
        <v xml:space="preserve"> All unrestricted Cash and investments.  
Exclude: restricted cash 
                   cash held by a third party. </v>
      </c>
      <c r="D5" s="144"/>
      <c r="E5" s="152">
        <f>'Unit Data from Audit Worksheet'!F7</f>
        <v>0</v>
      </c>
      <c r="F5" s="350">
        <f>IF(L5&lt;0,"Error: Number is normally positive.",)</f>
        <v>0</v>
      </c>
      <c r="G5" s="72"/>
      <c r="H5" s="349">
        <f>'Unit Data from Audit Worksheet'!I7</f>
        <v>0</v>
      </c>
      <c r="I5" s="38"/>
      <c r="J5" s="42">
        <v>333</v>
      </c>
      <c r="K5" s="51" t="s">
        <v>184</v>
      </c>
      <c r="L5" s="585">
        <f>IF(D5="",E5,D5)</f>
        <v>0</v>
      </c>
      <c r="P5" s="318"/>
      <c r="S5" s="3">
        <v>500</v>
      </c>
      <c r="T5" s="3">
        <v>5</v>
      </c>
      <c r="W5" s="3" t="b">
        <f t="shared" si="0"/>
        <v>1</v>
      </c>
      <c r="X5" s="582">
        <f t="shared" ref="X5:X116" si="1">E5-L5</f>
        <v>0</v>
      </c>
      <c r="Y5" s="582">
        <f t="shared" ref="Y5:Y116" si="2">D5-L5</f>
        <v>0</v>
      </c>
    </row>
    <row r="6" spans="1:25" ht="39.75" customHeight="1" x14ac:dyDescent="0.3">
      <c r="A6" s="337">
        <f>'Unit Data from Audit Worksheet'!A8</f>
        <v>500</v>
      </c>
      <c r="B6" s="351" t="str">
        <f>'Unit Data from Audit Worksheet'!C8</f>
        <v>Net Position-Governmental Activities</v>
      </c>
      <c r="C6" s="336" t="str">
        <f>'Unit Data from Audit Worksheet'!D8</f>
        <v xml:space="preserve"> All restricted Cash and investments</v>
      </c>
      <c r="D6" s="144"/>
      <c r="E6" s="357">
        <f>'Unit Data from Audit Worksheet'!F8</f>
        <v>0</v>
      </c>
      <c r="F6" s="350">
        <f>IF(L6&lt;0,"Error: Number is normally positive.",)</f>
        <v>0</v>
      </c>
      <c r="G6" s="352"/>
      <c r="H6" s="349">
        <f>'Unit Data from Audit Worksheet'!I8</f>
        <v>0</v>
      </c>
      <c r="I6" s="38"/>
      <c r="J6" s="348">
        <v>500</v>
      </c>
      <c r="K6" s="347" t="s">
        <v>183</v>
      </c>
      <c r="L6" s="585">
        <f>IF(D6="",E6,D6)</f>
        <v>0</v>
      </c>
      <c r="P6" s="319"/>
      <c r="T6" s="3">
        <v>6</v>
      </c>
      <c r="W6" s="3" t="b">
        <f t="shared" si="0"/>
        <v>1</v>
      </c>
      <c r="X6" s="582">
        <f t="shared" si="1"/>
        <v>0</v>
      </c>
      <c r="Y6" s="582">
        <f t="shared" si="2"/>
        <v>0</v>
      </c>
    </row>
    <row r="7" spans="1:25" ht="43.5" customHeight="1" x14ac:dyDescent="0.3">
      <c r="A7" s="337">
        <f>'Unit Data from Audit Worksheet'!A9</f>
        <v>385</v>
      </c>
      <c r="B7" s="351" t="str">
        <f>'Unit Data from Audit Worksheet'!C9</f>
        <v>Net Position-Governmental Activities</v>
      </c>
      <c r="C7" s="336" t="str">
        <f>'Unit Data from Audit Worksheet'!D9</f>
        <v>Total Assets and deferred outflows</v>
      </c>
      <c r="D7" s="144"/>
      <c r="E7" s="357">
        <f>'Unit Data from Audit Worksheet'!F9</f>
        <v>0</v>
      </c>
      <c r="F7" s="135">
        <f>IF((L5+L6)&gt;L7,"Error: Please review accts (333 + 500) &gt; 385",)</f>
        <v>0</v>
      </c>
      <c r="G7" s="352" t="str">
        <f>IF(Q7=1," Included in error count"," ")</f>
        <v xml:space="preserve"> </v>
      </c>
      <c r="H7" s="349">
        <f>'Unit Data from Audit Worksheet'!I9</f>
        <v>0</v>
      </c>
      <c r="I7" s="38"/>
      <c r="J7" s="76">
        <v>385</v>
      </c>
      <c r="K7" s="77" t="s">
        <v>115</v>
      </c>
      <c r="L7" s="586">
        <f>IF(D7="",E7,D7)+IF(D9="",E9,D9)</f>
        <v>0</v>
      </c>
      <c r="N7" s="78" t="s">
        <v>543</v>
      </c>
      <c r="P7" s="319"/>
      <c r="T7" s="3">
        <v>7</v>
      </c>
      <c r="W7" s="3" t="b">
        <f t="shared" si="0"/>
        <v>1</v>
      </c>
      <c r="X7" s="582">
        <f t="shared" si="1"/>
        <v>0</v>
      </c>
      <c r="Y7" s="582">
        <f t="shared" si="2"/>
        <v>0</v>
      </c>
    </row>
    <row r="8" spans="1:25" ht="90.75" customHeight="1" x14ac:dyDescent="0.3">
      <c r="A8" s="337">
        <f>'Unit Data from Audit Worksheet'!A10</f>
        <v>575</v>
      </c>
      <c r="B8" s="351" t="str">
        <f>'Unit Data from Audit Worksheet'!C10</f>
        <v>Net Position-Governmental Activities</v>
      </c>
      <c r="C8" s="336" t="str">
        <f>'Unit Data from Audit Worksheet'!D10</f>
        <v>Record any positive Internal balances on the net position statements that appear in the Asset Section of the Net Position Statement</v>
      </c>
      <c r="D8" s="144"/>
      <c r="E8" s="357">
        <f>'Unit Data from Audit Worksheet'!F10</f>
        <v>0</v>
      </c>
      <c r="F8" s="350">
        <f>IF(L8&lt;0,"Error: Number is normally positive.",)</f>
        <v>0</v>
      </c>
      <c r="G8" s="352"/>
      <c r="H8" s="349">
        <f>'Unit Data from Audit Worksheet'!I10</f>
        <v>0</v>
      </c>
      <c r="I8" s="38"/>
      <c r="J8" s="348">
        <v>575</v>
      </c>
      <c r="K8" s="354" t="s">
        <v>546</v>
      </c>
      <c r="L8" s="585">
        <f>IF(D8="",E8,D8)</f>
        <v>0</v>
      </c>
      <c r="N8" s="64"/>
      <c r="P8" s="319"/>
      <c r="W8" s="3" t="b">
        <f t="shared" si="0"/>
        <v>1</v>
      </c>
      <c r="X8" s="582">
        <f t="shared" si="1"/>
        <v>0</v>
      </c>
      <c r="Y8" s="582">
        <f t="shared" si="2"/>
        <v>0</v>
      </c>
    </row>
    <row r="9" spans="1:25" ht="103.5" customHeight="1" x14ac:dyDescent="0.3">
      <c r="A9" s="337">
        <f>'Unit Data from Audit Worksheet'!A11</f>
        <v>576</v>
      </c>
      <c r="B9" s="351" t="str">
        <f>'Unit Data from Audit Worksheet'!C11</f>
        <v>Net Position-Governmental Activities</v>
      </c>
      <c r="C9" s="587" t="str">
        <f>'Unit Data from Audit Worksheet'!D11</f>
        <v>Record any negative Internal balances on the net position statements that appear in the Asset Section of the Net Position Statement.
Enter as a positive</v>
      </c>
      <c r="D9" s="110"/>
      <c r="E9" s="155">
        <f>'Unit Data from Audit Worksheet'!F11</f>
        <v>0</v>
      </c>
      <c r="F9" s="346">
        <f>IF(E9&lt;0,"Error: Enter as positive.",)</f>
        <v>0</v>
      </c>
      <c r="G9" s="112"/>
      <c r="H9" s="113">
        <f>'Unit Data from Audit Worksheet'!I11</f>
        <v>0</v>
      </c>
      <c r="I9" s="38"/>
      <c r="J9" s="105">
        <v>576</v>
      </c>
      <c r="K9" s="354" t="s">
        <v>547</v>
      </c>
      <c r="L9" s="585">
        <f>IF(D9="",E9,D9)</f>
        <v>0</v>
      </c>
      <c r="N9" s="64"/>
      <c r="P9" s="320"/>
      <c r="W9" s="3" t="b">
        <f t="shared" si="0"/>
        <v>1</v>
      </c>
      <c r="X9" s="582">
        <f t="shared" si="1"/>
        <v>0</v>
      </c>
      <c r="Y9" s="582">
        <f t="shared" si="2"/>
        <v>0</v>
      </c>
    </row>
    <row r="10" spans="1:25" s="18" customFormat="1" ht="100.5" customHeight="1" x14ac:dyDescent="0.3">
      <c r="A10" s="337">
        <f>'Unit Data from Audit Worksheet'!A12</f>
        <v>626</v>
      </c>
      <c r="B10" s="342" t="str">
        <f>'Unit Data from Audit Worksheet'!C12</f>
        <v>Net Position-Governmental Activities</v>
      </c>
      <c r="C10" s="341"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3">
        <f>'Unit Data from Audit Worksheet'!F12</f>
        <v>0</v>
      </c>
      <c r="F10" s="345">
        <f>IF(L10&lt;0,"Error: Enter as a positive.",)</f>
        <v>0</v>
      </c>
      <c r="G10" s="330"/>
      <c r="H10" s="345">
        <f>'Unit Data from Audit Worksheet'!I12</f>
        <v>0</v>
      </c>
      <c r="I10" s="38"/>
      <c r="J10" s="344">
        <v>626</v>
      </c>
      <c r="K10" s="311" t="s">
        <v>734</v>
      </c>
      <c r="L10" s="588">
        <f>IF(D10="",E10,D10)+IF(D9="",E9,D9)</f>
        <v>0</v>
      </c>
      <c r="M10" s="589"/>
      <c r="N10" s="182" t="s">
        <v>543</v>
      </c>
      <c r="O10" s="589"/>
      <c r="P10" s="321"/>
      <c r="Q10" s="590"/>
      <c r="R10" s="3"/>
      <c r="W10" s="18" t="b">
        <f t="shared" si="0"/>
        <v>1</v>
      </c>
      <c r="X10" s="591">
        <f t="shared" si="1"/>
        <v>0</v>
      </c>
      <c r="Y10" s="591">
        <f t="shared" si="2"/>
        <v>0</v>
      </c>
    </row>
    <row r="11" spans="1:25" s="18" customFormat="1" ht="86.25" customHeight="1" x14ac:dyDescent="0.3">
      <c r="A11" s="337">
        <f>'Unit Data from Audit Worksheet'!A13</f>
        <v>627</v>
      </c>
      <c r="B11" s="342" t="str">
        <f>'Unit Data from Audit Worksheet'!C13</f>
        <v>Net Position-Governmental Activities</v>
      </c>
      <c r="C11" s="341"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3">
        <f>'Unit Data from Audit Worksheet'!F13</f>
        <v>0</v>
      </c>
      <c r="F11" s="345"/>
      <c r="G11" s="330"/>
      <c r="H11" s="345"/>
      <c r="I11" s="38"/>
      <c r="J11" s="344">
        <v>627</v>
      </c>
      <c r="K11" s="311" t="s">
        <v>726</v>
      </c>
      <c r="L11" s="592">
        <f t="shared" ref="L11:L16" si="3">IF(D11="",E11,D11)</f>
        <v>0</v>
      </c>
      <c r="M11" s="589"/>
      <c r="N11" s="181"/>
      <c r="O11" s="589"/>
      <c r="P11" s="321"/>
      <c r="Q11" s="590"/>
      <c r="R11" s="3"/>
      <c r="W11" s="18" t="b">
        <f t="shared" si="0"/>
        <v>1</v>
      </c>
      <c r="X11" s="591">
        <f t="shared" si="1"/>
        <v>0</v>
      </c>
      <c r="Y11" s="591">
        <f t="shared" si="2"/>
        <v>0</v>
      </c>
    </row>
    <row r="12" spans="1:25" s="18" customFormat="1" ht="86.25" customHeight="1" x14ac:dyDescent="0.3">
      <c r="A12" s="337">
        <f>'Unit Data from Audit Worksheet'!A14</f>
        <v>628</v>
      </c>
      <c r="B12" s="342" t="str">
        <f>'Unit Data from Audit Worksheet'!C14</f>
        <v>Net Position-Governmental Activities</v>
      </c>
      <c r="C12" s="341"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3">
        <f>'Unit Data from Audit Worksheet'!F14</f>
        <v>0</v>
      </c>
      <c r="F12" s="345"/>
      <c r="G12" s="330"/>
      <c r="H12" s="345"/>
      <c r="I12" s="38"/>
      <c r="J12" s="344">
        <v>628</v>
      </c>
      <c r="K12" s="311" t="s">
        <v>731</v>
      </c>
      <c r="L12" s="592">
        <f t="shared" si="3"/>
        <v>0</v>
      </c>
      <c r="M12" s="589"/>
      <c r="N12" s="181"/>
      <c r="O12" s="589"/>
      <c r="P12" s="321"/>
      <c r="Q12" s="590"/>
      <c r="R12" s="3"/>
      <c r="W12" s="18" t="b">
        <f t="shared" si="0"/>
        <v>1</v>
      </c>
      <c r="X12" s="591">
        <f t="shared" si="1"/>
        <v>0</v>
      </c>
      <c r="Y12" s="591">
        <f t="shared" si="2"/>
        <v>0</v>
      </c>
    </row>
    <row r="13" spans="1:25" s="18" customFormat="1" ht="93" customHeight="1" x14ac:dyDescent="0.3">
      <c r="A13" s="337">
        <f>'Unit Data from Audit Worksheet'!A15</f>
        <v>629</v>
      </c>
      <c r="B13" s="342" t="str">
        <f>'Unit Data from Audit Worksheet'!C15</f>
        <v>Net Position-Governmental Activities</v>
      </c>
      <c r="C13" s="341" t="str">
        <f>'Unit Data from Audit Worksheet'!D15</f>
        <v>Please enter any pension liabilities that are classified as current liabilities and included in account 626 above (amounts entered should agree to the current amount included in the changes to long-term debt note)</v>
      </c>
      <c r="D13" s="110"/>
      <c r="E13" s="363">
        <f>'Unit Data from Audit Worksheet'!F15</f>
        <v>0</v>
      </c>
      <c r="F13" s="345"/>
      <c r="G13" s="330"/>
      <c r="H13" s="345"/>
      <c r="I13" s="38"/>
      <c r="J13" s="344">
        <v>629</v>
      </c>
      <c r="K13" s="311" t="s">
        <v>730</v>
      </c>
      <c r="L13" s="592">
        <f t="shared" si="3"/>
        <v>0</v>
      </c>
      <c r="M13" s="589"/>
      <c r="N13" s="181"/>
      <c r="O13" s="589"/>
      <c r="P13" s="321"/>
      <c r="Q13" s="590"/>
      <c r="R13" s="3"/>
      <c r="W13" s="18" t="b">
        <f t="shared" si="0"/>
        <v>1</v>
      </c>
      <c r="X13" s="591">
        <f t="shared" si="1"/>
        <v>0</v>
      </c>
      <c r="Y13" s="591">
        <f t="shared" si="2"/>
        <v>0</v>
      </c>
    </row>
    <row r="14" spans="1:25" s="18" customFormat="1" ht="67.5" customHeight="1" x14ac:dyDescent="0.3">
      <c r="A14" s="337">
        <f>'Unit Data from Audit Worksheet'!A16</f>
        <v>630</v>
      </c>
      <c r="B14" s="342" t="str">
        <f>'Unit Data from Audit Worksheet'!C16</f>
        <v>Net Position-Governmental Activities</v>
      </c>
      <c r="C14" s="341" t="str">
        <f>'Unit Data from Audit Worksheet'!D16</f>
        <v>Please enter any current liabilities that are payable from restricted assets and included in account 626 above</v>
      </c>
      <c r="D14" s="110"/>
      <c r="E14" s="363">
        <f>'Unit Data from Audit Worksheet'!F16</f>
        <v>0</v>
      </c>
      <c r="F14" s="345"/>
      <c r="G14" s="330"/>
      <c r="H14" s="345"/>
      <c r="I14" s="38"/>
      <c r="J14" s="344">
        <v>630</v>
      </c>
      <c r="K14" s="311" t="s">
        <v>729</v>
      </c>
      <c r="L14" s="592">
        <f t="shared" si="3"/>
        <v>0</v>
      </c>
      <c r="M14" s="589"/>
      <c r="N14" s="181"/>
      <c r="O14" s="589"/>
      <c r="P14" s="321"/>
      <c r="Q14" s="590"/>
      <c r="R14" s="3"/>
      <c r="W14" s="18" t="b">
        <f t="shared" si="0"/>
        <v>1</v>
      </c>
      <c r="X14" s="591">
        <f t="shared" si="1"/>
        <v>0</v>
      </c>
      <c r="Y14" s="591">
        <f t="shared" si="2"/>
        <v>0</v>
      </c>
    </row>
    <row r="15" spans="1:25" s="18" customFormat="1" ht="102.75" customHeight="1" x14ac:dyDescent="0.3">
      <c r="A15" s="337">
        <f>'Unit Data from Audit Worksheet'!A17</f>
        <v>631</v>
      </c>
      <c r="B15" s="351" t="str">
        <f>'Unit Data from Audit Worksheet'!C17</f>
        <v>Net Position-Governmental Activities</v>
      </c>
      <c r="C15" s="331" t="str">
        <f>'Unit Data from Audit Worksheet'!D17</f>
        <v>Please enter any OPEB liabilities that are classified as current liabilities and included in account 626 above (amounts entered should agree to the current amount included in the changes to long-term debt note)</v>
      </c>
      <c r="D15" s="110"/>
      <c r="E15" s="363">
        <f>'Unit Data from Audit Worksheet'!F17</f>
        <v>0</v>
      </c>
      <c r="F15" s="345"/>
      <c r="G15" s="330"/>
      <c r="H15" s="345"/>
      <c r="I15" s="38"/>
      <c r="J15" s="344">
        <v>631</v>
      </c>
      <c r="K15" s="311" t="s">
        <v>728</v>
      </c>
      <c r="L15" s="592">
        <f t="shared" si="3"/>
        <v>0</v>
      </c>
      <c r="M15" s="589"/>
      <c r="N15" s="181"/>
      <c r="O15" s="589"/>
      <c r="P15" s="321"/>
      <c r="Q15" s="590"/>
      <c r="R15" s="3"/>
      <c r="W15" s="18" t="b">
        <f t="shared" si="0"/>
        <v>1</v>
      </c>
      <c r="X15" s="591">
        <f t="shared" si="1"/>
        <v>0</v>
      </c>
      <c r="Y15" s="591">
        <f t="shared" si="2"/>
        <v>0</v>
      </c>
    </row>
    <row r="16" spans="1:25" s="18" customFormat="1" ht="119.25" customHeight="1" x14ac:dyDescent="0.3">
      <c r="A16" s="337">
        <f>'Unit Data from Audit Worksheet'!A18</f>
        <v>632</v>
      </c>
      <c r="B16" s="351" t="str">
        <f>'Unit Data from Audit Worksheet'!C18</f>
        <v>Net Position-Governmental Activities</v>
      </c>
      <c r="C16" s="331"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3">
        <f>'Unit Data from Audit Worksheet'!F18</f>
        <v>0</v>
      </c>
      <c r="F16" s="345"/>
      <c r="G16" s="330"/>
      <c r="H16" s="345"/>
      <c r="I16" s="38"/>
      <c r="J16" s="344">
        <v>632</v>
      </c>
      <c r="K16" s="311" t="s">
        <v>727</v>
      </c>
      <c r="L16" s="592">
        <f t="shared" si="3"/>
        <v>0</v>
      </c>
      <c r="M16" s="589"/>
      <c r="N16" s="181"/>
      <c r="O16" s="589"/>
      <c r="P16" s="321"/>
      <c r="Q16" s="590"/>
      <c r="R16" s="3"/>
      <c r="W16" s="18" t="b">
        <f t="shared" si="0"/>
        <v>1</v>
      </c>
      <c r="X16" s="591">
        <f t="shared" si="1"/>
        <v>0</v>
      </c>
      <c r="Y16" s="591">
        <f t="shared" si="2"/>
        <v>0</v>
      </c>
    </row>
    <row r="17" spans="1:25" ht="30.6" x14ac:dyDescent="0.3">
      <c r="A17" s="337">
        <f>'Unit Data from Audit Worksheet'!A19</f>
        <v>338</v>
      </c>
      <c r="B17" s="351" t="str">
        <f>'Unit Data from Audit Worksheet'!C19</f>
        <v>Net Position-Governmental Activities</v>
      </c>
      <c r="C17" s="336" t="str">
        <f>'Unit Data from Audit Worksheet'!D19</f>
        <v>Total Liabilities and total deferred inflows</v>
      </c>
      <c r="D17" s="110"/>
      <c r="E17" s="152">
        <f>'Unit Data from Audit Worksheet'!F19</f>
        <v>0</v>
      </c>
      <c r="F17" s="135" t="str">
        <f>IF(L10&gt;L17,"Please review accounts 626 greater than 338","")</f>
        <v/>
      </c>
      <c r="G17" s="72"/>
      <c r="H17" s="349">
        <f>'Unit Data from Audit Worksheet'!I19</f>
        <v>0</v>
      </c>
      <c r="I17" s="38"/>
      <c r="J17" s="114">
        <v>338</v>
      </c>
      <c r="K17" s="115" t="s">
        <v>116</v>
      </c>
      <c r="L17" s="586">
        <f>IF(D17="",E17,D17)+IF(D9="",E9,D9)</f>
        <v>0</v>
      </c>
      <c r="N17" s="78" t="s">
        <v>543</v>
      </c>
      <c r="P17" s="318"/>
      <c r="W17" s="3" t="b">
        <f t="shared" si="0"/>
        <v>1</v>
      </c>
      <c r="X17" s="582">
        <f t="shared" si="1"/>
        <v>0</v>
      </c>
      <c r="Y17" s="582">
        <f t="shared" si="2"/>
        <v>0</v>
      </c>
    </row>
    <row r="18" spans="1:25" ht="100.5" customHeight="1" x14ac:dyDescent="0.3">
      <c r="A18" s="337">
        <f>'Unit Data from Audit Worksheet'!A20</f>
        <v>335</v>
      </c>
      <c r="B18" s="351" t="str">
        <f>'Unit Data from Audit Worksheet'!C20</f>
        <v>Net Position-Governmental Activities</v>
      </c>
      <c r="C18" s="336" t="str">
        <f>'Unit Data from Audit Worksheet'!D20</f>
        <v>Unearned revenues that were included in current liabilities in your audit report or entered in acct # 626 above. 
Exclude - unearned revenues that are listed in deferred inflows.</v>
      </c>
      <c r="D18" s="110"/>
      <c r="E18" s="357">
        <f>'Unit Data from Audit Worksheet'!F20</f>
        <v>0</v>
      </c>
      <c r="F18" s="350">
        <f>IF(L18&lt;0,"Error: Enter as a positive.",)</f>
        <v>0</v>
      </c>
      <c r="G18" s="352"/>
      <c r="H18" s="349">
        <f>'Unit Data from Audit Worksheet'!I20</f>
        <v>0</v>
      </c>
      <c r="I18" s="38"/>
      <c r="J18" s="348">
        <v>335</v>
      </c>
      <c r="K18" s="347" t="s">
        <v>117</v>
      </c>
      <c r="L18" s="585">
        <f>IF(D18="",E18,D18)</f>
        <v>0</v>
      </c>
      <c r="P18" s="319"/>
      <c r="W18" s="3" t="b">
        <f t="shared" si="0"/>
        <v>1</v>
      </c>
      <c r="X18" s="582">
        <f t="shared" si="1"/>
        <v>0</v>
      </c>
      <c r="Y18" s="582">
        <f t="shared" si="2"/>
        <v>0</v>
      </c>
    </row>
    <row r="19" spans="1:25" ht="20.399999999999999" x14ac:dyDescent="0.3">
      <c r="A19" s="337">
        <f>'Unit Data from Audit Worksheet'!A21</f>
        <v>252</v>
      </c>
      <c r="B19" s="351" t="str">
        <f>'Unit Data from Audit Worksheet'!C21</f>
        <v>Net Position-Governmental Activities</v>
      </c>
      <c r="C19" s="336" t="str">
        <f>'Unit Data from Audit Worksheet'!D21</f>
        <v xml:space="preserve"> Total Net investment in capital assets</v>
      </c>
      <c r="D19" s="110"/>
      <c r="E19" s="357">
        <f>'Unit Data from Audit Worksheet'!F21</f>
        <v>0</v>
      </c>
      <c r="F19" s="350"/>
      <c r="G19" s="352"/>
      <c r="H19" s="349">
        <f>'Unit Data from Audit Worksheet'!I21</f>
        <v>0</v>
      </c>
      <c r="I19" s="38"/>
      <c r="J19" s="348">
        <v>252</v>
      </c>
      <c r="K19" s="347" t="s">
        <v>103</v>
      </c>
      <c r="L19" s="585">
        <f t="shared" ref="L19:L51" si="4">IF(D19="",E19,D19)</f>
        <v>0</v>
      </c>
      <c r="O19" s="593" t="e">
        <f>'Unit Data from Audit Worksheet'!E21</f>
        <v>#N/A</v>
      </c>
      <c r="P19" s="319"/>
      <c r="W19" s="3" t="b">
        <f t="shared" si="0"/>
        <v>1</v>
      </c>
      <c r="X19" s="582">
        <f t="shared" si="1"/>
        <v>0</v>
      </c>
      <c r="Y19" s="582">
        <f t="shared" si="2"/>
        <v>0</v>
      </c>
    </row>
    <row r="20" spans="1:25" ht="20.399999999999999" x14ac:dyDescent="0.3">
      <c r="A20" s="337">
        <f>'Unit Data from Audit Worksheet'!A22</f>
        <v>253</v>
      </c>
      <c r="B20" s="351" t="str">
        <f>'Unit Data from Audit Worksheet'!C22</f>
        <v>Net Position-Governmental Activities</v>
      </c>
      <c r="C20" s="336" t="str">
        <f>'Unit Data from Audit Worksheet'!D22</f>
        <v xml:space="preserve"> Total Net Position, Restricted</v>
      </c>
      <c r="D20" s="110"/>
      <c r="E20" s="357">
        <f>'Unit Data from Audit Worksheet'!F22</f>
        <v>0</v>
      </c>
      <c r="F20" s="350"/>
      <c r="G20" s="352"/>
      <c r="H20" s="349">
        <f>'Unit Data from Audit Worksheet'!I22</f>
        <v>0</v>
      </c>
      <c r="I20" s="38"/>
      <c r="J20" s="348">
        <v>253</v>
      </c>
      <c r="K20" s="347" t="s">
        <v>104</v>
      </c>
      <c r="L20" s="585">
        <f t="shared" si="4"/>
        <v>0</v>
      </c>
      <c r="O20" s="593" t="e">
        <f>'Unit Data from Audit Worksheet'!E22</f>
        <v>#N/A</v>
      </c>
      <c r="P20" s="319"/>
      <c r="W20" s="3" t="b">
        <f t="shared" si="0"/>
        <v>1</v>
      </c>
      <c r="X20" s="582">
        <f t="shared" si="1"/>
        <v>0</v>
      </c>
      <c r="Y20" s="582">
        <f t="shared" si="2"/>
        <v>0</v>
      </c>
    </row>
    <row r="21" spans="1:25" ht="73.5" customHeight="1" x14ac:dyDescent="0.3">
      <c r="A21" s="337">
        <f>'Unit Data from Audit Worksheet'!A23</f>
        <v>254</v>
      </c>
      <c r="B21" s="351" t="str">
        <f>'Unit Data from Audit Worksheet'!C23</f>
        <v>Net Position-Governmental Activities</v>
      </c>
      <c r="C21" s="336" t="str">
        <f>'Unit Data from Audit Worksheet'!D23</f>
        <v>Total Net Position, Unrestricted - enter negative unrestricted net position as a negative)</v>
      </c>
      <c r="D21" s="110"/>
      <c r="E21" s="357">
        <f>'Unit Data from Audit Worksheet'!F23</f>
        <v>0</v>
      </c>
      <c r="F21" s="350">
        <f>IF((L7-L17-L19-L20-L21)=0,,"Error: Total assets and deferred outflows less total liabilities and deferred inflows do not equal total net position accts 385-338-252-253-254")</f>
        <v>0</v>
      </c>
      <c r="G21" s="90">
        <f>+L7-L17-L19-L20-L21</f>
        <v>0</v>
      </c>
      <c r="H21" s="349">
        <f>'Unit Data from Audit Worksheet'!I23</f>
        <v>0</v>
      </c>
      <c r="I21" s="38"/>
      <c r="J21" s="348">
        <v>254</v>
      </c>
      <c r="K21" s="347" t="s">
        <v>105</v>
      </c>
      <c r="L21" s="585">
        <f t="shared" si="4"/>
        <v>0</v>
      </c>
      <c r="O21" s="593" t="e">
        <f>'Unit Data from Audit Worksheet'!E23</f>
        <v>#N/A</v>
      </c>
      <c r="P21" s="319"/>
      <c r="Q21" s="575">
        <f>IF(G21&lt;&gt;0,1,0)</f>
        <v>0</v>
      </c>
      <c r="W21" s="3" t="b">
        <f t="shared" si="0"/>
        <v>1</v>
      </c>
      <c r="X21" s="582">
        <f t="shared" si="1"/>
        <v>0</v>
      </c>
      <c r="Y21" s="582">
        <f t="shared" si="2"/>
        <v>0</v>
      </c>
    </row>
    <row r="22" spans="1:25" ht="51.75" customHeight="1" x14ac:dyDescent="0.3">
      <c r="A22" s="337">
        <f>'Unit Data from Audit Worksheet'!A25</f>
        <v>502</v>
      </c>
      <c r="B22" s="351" t="str">
        <f>'Unit Data from Audit Worksheet'!C25</f>
        <v>Net Position-Business Activities</v>
      </c>
      <c r="C22" s="336" t="str">
        <f>'Unit Data from Audit Worksheet'!D25</f>
        <v xml:space="preserve">All unrestricted Cash and investments. 
Exclude restricted cash and cash held by a third party. </v>
      </c>
      <c r="D22" s="110"/>
      <c r="E22" s="357">
        <f>'Unit Data from Audit Worksheet'!F25</f>
        <v>0</v>
      </c>
      <c r="F22" s="350">
        <f>IF(L22&lt;0,"Error: Number is normally positive.",)</f>
        <v>0</v>
      </c>
      <c r="G22" s="352"/>
      <c r="H22" s="349">
        <f>'Unit Data from Audit Worksheet'!I25</f>
        <v>0</v>
      </c>
      <c r="I22" s="38"/>
      <c r="J22" s="348">
        <v>502</v>
      </c>
      <c r="K22" s="347" t="s">
        <v>186</v>
      </c>
      <c r="L22" s="585">
        <f t="shared" si="4"/>
        <v>0</v>
      </c>
      <c r="P22" s="319"/>
      <c r="W22" s="3" t="b">
        <f t="shared" si="0"/>
        <v>1</v>
      </c>
      <c r="X22" s="582">
        <f t="shared" si="1"/>
        <v>0</v>
      </c>
      <c r="Y22" s="582">
        <f t="shared" si="2"/>
        <v>0</v>
      </c>
    </row>
    <row r="23" spans="1:25" ht="40.5" customHeight="1" x14ac:dyDescent="0.3">
      <c r="A23" s="337">
        <f>'Unit Data from Audit Worksheet'!A26</f>
        <v>503</v>
      </c>
      <c r="B23" s="351" t="str">
        <f>'Unit Data from Audit Worksheet'!C26</f>
        <v>Net Position-Business Activities</v>
      </c>
      <c r="C23" s="336" t="str">
        <f>'Unit Data from Audit Worksheet'!D26</f>
        <v>All restricted Cash and investments</v>
      </c>
      <c r="D23" s="110"/>
      <c r="E23" s="357">
        <f>'Unit Data from Audit Worksheet'!F26</f>
        <v>0</v>
      </c>
      <c r="F23" s="350">
        <f>IF(L23&lt;0,"Error: Number is normally positive.",)</f>
        <v>0</v>
      </c>
      <c r="G23" s="352"/>
      <c r="H23" s="349">
        <f>'Unit Data from Audit Worksheet'!I26</f>
        <v>0</v>
      </c>
      <c r="I23" s="38"/>
      <c r="J23" s="348">
        <v>503</v>
      </c>
      <c r="K23" s="347" t="s">
        <v>187</v>
      </c>
      <c r="L23" s="585">
        <f t="shared" si="4"/>
        <v>0</v>
      </c>
      <c r="P23" s="319"/>
      <c r="W23" s="3" t="b">
        <f t="shared" si="0"/>
        <v>1</v>
      </c>
      <c r="X23" s="582">
        <f t="shared" si="1"/>
        <v>0</v>
      </c>
      <c r="Y23" s="582">
        <f t="shared" si="2"/>
        <v>0</v>
      </c>
    </row>
    <row r="24" spans="1:25" ht="39" customHeight="1" x14ac:dyDescent="0.3">
      <c r="A24" s="337">
        <f>'Unit Data from Audit Worksheet'!A28</f>
        <v>344</v>
      </c>
      <c r="B24" s="351" t="str">
        <f>'Unit Data from Audit Worksheet'!C28</f>
        <v>Statement of Activities - Governmental</v>
      </c>
      <c r="C24" s="336" t="str">
        <f>'Unit Data from Audit Worksheet'!D28</f>
        <v xml:space="preserve">Total Interest expense on Long-Term Debt </v>
      </c>
      <c r="D24" s="110"/>
      <c r="E24" s="357">
        <f>'Unit Data from Audit Worksheet'!F28</f>
        <v>0</v>
      </c>
      <c r="F24" s="350">
        <f>IF(L24&lt;0,"Error: Enter as a positive.",)</f>
        <v>0</v>
      </c>
      <c r="G24" s="352"/>
      <c r="H24" s="349">
        <f>'Unit Data from Audit Worksheet'!I28</f>
        <v>0</v>
      </c>
      <c r="I24" s="38"/>
      <c r="J24" s="348">
        <v>344</v>
      </c>
      <c r="K24" s="347" t="s">
        <v>188</v>
      </c>
      <c r="L24" s="585">
        <f t="shared" si="4"/>
        <v>0</v>
      </c>
      <c r="P24" s="319"/>
      <c r="W24" s="3" t="b">
        <f t="shared" si="0"/>
        <v>1</v>
      </c>
      <c r="X24" s="582">
        <f t="shared" si="1"/>
        <v>0</v>
      </c>
      <c r="Y24" s="582">
        <f t="shared" si="2"/>
        <v>0</v>
      </c>
    </row>
    <row r="25" spans="1:25" ht="39" customHeight="1" x14ac:dyDescent="0.3">
      <c r="A25" s="337">
        <f>'Unit Data from Audit Worksheet'!A29</f>
        <v>388</v>
      </c>
      <c r="B25" s="351" t="str">
        <f>'Unit Data from Audit Worksheet'!C29</f>
        <v>Statement of Activities - Governmental</v>
      </c>
      <c r="C25" s="336" t="str">
        <f>'Unit Data from Audit Worksheet'!D29</f>
        <v>Total Expenses</v>
      </c>
      <c r="D25" s="110"/>
      <c r="E25" s="357">
        <f>'Unit Data from Audit Worksheet'!F29</f>
        <v>0</v>
      </c>
      <c r="F25" s="350">
        <f t="shared" ref="F25:F30" si="5">IF(L25&lt;0,"Error: Number is normally positive.",)</f>
        <v>0</v>
      </c>
      <c r="G25" s="352"/>
      <c r="H25" s="349">
        <f>'Unit Data from Audit Worksheet'!I29</f>
        <v>0</v>
      </c>
      <c r="I25" s="38"/>
      <c r="J25" s="348">
        <v>388</v>
      </c>
      <c r="K25" s="347" t="s">
        <v>189</v>
      </c>
      <c r="L25" s="585">
        <f t="shared" si="4"/>
        <v>0</v>
      </c>
      <c r="P25" s="319"/>
      <c r="W25" s="3" t="b">
        <f t="shared" si="0"/>
        <v>1</v>
      </c>
      <c r="X25" s="582">
        <f t="shared" si="1"/>
        <v>0</v>
      </c>
      <c r="Y25" s="582">
        <f t="shared" si="2"/>
        <v>0</v>
      </c>
    </row>
    <row r="26" spans="1:25" ht="39" customHeight="1" x14ac:dyDescent="0.3">
      <c r="A26" s="337">
        <f>'Unit Data from Audit Worksheet'!A30</f>
        <v>339</v>
      </c>
      <c r="B26" s="351" t="str">
        <f>'Unit Data from Audit Worksheet'!C30</f>
        <v>Statement of Activities - Governmental</v>
      </c>
      <c r="C26" s="336" t="str">
        <f>'Unit Data from Audit Worksheet'!D30</f>
        <v xml:space="preserve">Charges for services </v>
      </c>
      <c r="D26" s="110"/>
      <c r="E26" s="357">
        <f>'Unit Data from Audit Worksheet'!F30</f>
        <v>0</v>
      </c>
      <c r="F26" s="350">
        <f t="shared" si="5"/>
        <v>0</v>
      </c>
      <c r="G26" s="352"/>
      <c r="H26" s="349">
        <f>'Unit Data from Audit Worksheet'!I30</f>
        <v>0</v>
      </c>
      <c r="I26" s="38"/>
      <c r="J26" s="348">
        <v>339</v>
      </c>
      <c r="K26" s="347" t="s">
        <v>190</v>
      </c>
      <c r="L26" s="585">
        <f t="shared" si="4"/>
        <v>0</v>
      </c>
      <c r="P26" s="319"/>
      <c r="W26" s="3" t="b">
        <f t="shared" si="0"/>
        <v>1</v>
      </c>
      <c r="X26" s="582">
        <f t="shared" si="1"/>
        <v>0</v>
      </c>
      <c r="Y26" s="582">
        <f t="shared" si="2"/>
        <v>0</v>
      </c>
    </row>
    <row r="27" spans="1:25" ht="39" customHeight="1" x14ac:dyDescent="0.3">
      <c r="A27" s="337">
        <f>'Unit Data from Audit Worksheet'!A31</f>
        <v>504</v>
      </c>
      <c r="B27" s="351" t="str">
        <f>'Unit Data from Audit Worksheet'!C31</f>
        <v>Statement of Activities - Governmental</v>
      </c>
      <c r="C27" s="336" t="str">
        <f>'Unit Data from Audit Worksheet'!D31</f>
        <v>Operating grants and contributions</v>
      </c>
      <c r="D27" s="110"/>
      <c r="E27" s="357">
        <f>'Unit Data from Audit Worksheet'!F31</f>
        <v>0</v>
      </c>
      <c r="F27" s="350">
        <f t="shared" si="5"/>
        <v>0</v>
      </c>
      <c r="G27" s="352"/>
      <c r="H27" s="349">
        <f>'Unit Data from Audit Worksheet'!I31</f>
        <v>0</v>
      </c>
      <c r="I27" s="38"/>
      <c r="J27" s="348">
        <v>504</v>
      </c>
      <c r="K27" s="347" t="s">
        <v>191</v>
      </c>
      <c r="L27" s="585">
        <f t="shared" si="4"/>
        <v>0</v>
      </c>
      <c r="P27" s="319"/>
      <c r="W27" s="3" t="b">
        <f t="shared" si="0"/>
        <v>1</v>
      </c>
      <c r="X27" s="582">
        <f t="shared" si="1"/>
        <v>0</v>
      </c>
      <c r="Y27" s="582">
        <f t="shared" si="2"/>
        <v>0</v>
      </c>
    </row>
    <row r="28" spans="1:25" ht="39" customHeight="1" x14ac:dyDescent="0.3">
      <c r="A28" s="337">
        <f>'Unit Data from Audit Worksheet'!A32</f>
        <v>505</v>
      </c>
      <c r="B28" s="351" t="str">
        <f>'Unit Data from Audit Worksheet'!C32</f>
        <v>Statement of Activities - Governmental</v>
      </c>
      <c r="C28" s="336" t="str">
        <f>'Unit Data from Audit Worksheet'!D32</f>
        <v>Capital grants and contributions</v>
      </c>
      <c r="D28" s="110"/>
      <c r="E28" s="357">
        <f>'Unit Data from Audit Worksheet'!F32</f>
        <v>0</v>
      </c>
      <c r="F28" s="350">
        <f t="shared" si="5"/>
        <v>0</v>
      </c>
      <c r="G28" s="352"/>
      <c r="H28" s="349">
        <f>'Unit Data from Audit Worksheet'!I32</f>
        <v>0</v>
      </c>
      <c r="I28" s="38"/>
      <c r="J28" s="348">
        <v>505</v>
      </c>
      <c r="K28" s="347" t="s">
        <v>192</v>
      </c>
      <c r="L28" s="585">
        <f t="shared" si="4"/>
        <v>0</v>
      </c>
      <c r="P28" s="319"/>
      <c r="W28" s="3" t="b">
        <f t="shared" si="0"/>
        <v>1</v>
      </c>
      <c r="X28" s="582">
        <f t="shared" si="1"/>
        <v>0</v>
      </c>
      <c r="Y28" s="582">
        <f t="shared" si="2"/>
        <v>0</v>
      </c>
    </row>
    <row r="29" spans="1:25" ht="82.5" customHeight="1" x14ac:dyDescent="0.3">
      <c r="A29" s="337">
        <f>'Unit Data from Audit Worksheet'!A33</f>
        <v>341</v>
      </c>
      <c r="B29" s="351" t="str">
        <f>'Unit Data from Audit Worksheet'!C33</f>
        <v>Statement of Activities - Governmental</v>
      </c>
      <c r="C29" s="336" t="str">
        <f>'Unit Data from Audit Worksheet'!D33</f>
        <v>Total General revenues
Exclude: transfers-in or out,
                 special items,
                 extraordinary amounts</v>
      </c>
      <c r="D29" s="110"/>
      <c r="E29" s="357">
        <f>'Unit Data from Audit Worksheet'!F33</f>
        <v>0</v>
      </c>
      <c r="F29" s="350">
        <f t="shared" si="5"/>
        <v>0</v>
      </c>
      <c r="G29" s="352"/>
      <c r="H29" s="349">
        <f>'Unit Data from Audit Worksheet'!I33</f>
        <v>0</v>
      </c>
      <c r="I29" s="38"/>
      <c r="J29" s="348">
        <v>341</v>
      </c>
      <c r="K29" s="347" t="s">
        <v>193</v>
      </c>
      <c r="L29" s="585">
        <f t="shared" si="4"/>
        <v>0</v>
      </c>
      <c r="P29" s="319"/>
      <c r="W29" s="3" t="b">
        <f t="shared" si="0"/>
        <v>1</v>
      </c>
      <c r="X29" s="582">
        <f t="shared" si="1"/>
        <v>0</v>
      </c>
      <c r="Y29" s="582">
        <f t="shared" si="2"/>
        <v>0</v>
      </c>
    </row>
    <row r="30" spans="1:25" ht="82.5" customHeight="1" x14ac:dyDescent="0.3">
      <c r="A30" s="337">
        <f>'Unit Data from Audit Worksheet'!A34</f>
        <v>386</v>
      </c>
      <c r="B30" s="351" t="str">
        <f>'Unit Data from Audit Worksheet'!C34</f>
        <v>Statement of Activities - Governmental</v>
      </c>
      <c r="C30" s="336" t="str">
        <f>'Unit Data from Audit Worksheet'!D34</f>
        <v>Total Transfers in    (Preference is that transfers-in  are not netted against transfers-out)</v>
      </c>
      <c r="D30" s="110"/>
      <c r="E30" s="357">
        <f>'Unit Data from Audit Worksheet'!F34</f>
        <v>0</v>
      </c>
      <c r="F30" s="350">
        <f t="shared" si="5"/>
        <v>0</v>
      </c>
      <c r="G30" s="352"/>
      <c r="H30" s="349">
        <f>'Unit Data from Audit Worksheet'!I34</f>
        <v>0</v>
      </c>
      <c r="I30" s="38"/>
      <c r="J30" s="348">
        <v>386</v>
      </c>
      <c r="K30" s="347" t="s">
        <v>194</v>
      </c>
      <c r="L30" s="585">
        <f t="shared" si="4"/>
        <v>0</v>
      </c>
      <c r="P30" s="319"/>
      <c r="W30" s="3" t="b">
        <f t="shared" si="0"/>
        <v>1</v>
      </c>
      <c r="X30" s="582">
        <f t="shared" si="1"/>
        <v>0</v>
      </c>
      <c r="Y30" s="582">
        <f t="shared" si="2"/>
        <v>0</v>
      </c>
    </row>
    <row r="31" spans="1:25" ht="82.5" customHeight="1" x14ac:dyDescent="0.3">
      <c r="A31" s="337">
        <f>'Unit Data from Audit Worksheet'!A35</f>
        <v>387</v>
      </c>
      <c r="B31" s="351" t="str">
        <f>'Unit Data from Audit Worksheet'!C35</f>
        <v>Statement of Activities - Governmental</v>
      </c>
      <c r="C31" s="336" t="str">
        <f>'Unit Data from Audit Worksheet'!D35</f>
        <v>Total Transfers out    (Preference is that transfers-in  are not netted against transfers-out)</v>
      </c>
      <c r="D31" s="110"/>
      <c r="E31" s="357">
        <f>'Unit Data from Audit Worksheet'!F35</f>
        <v>0</v>
      </c>
      <c r="F31" s="350">
        <f>IF(L31&lt;0,"Error: Enter as a positive.",)</f>
        <v>0</v>
      </c>
      <c r="G31" s="352"/>
      <c r="H31" s="349">
        <f>'Unit Data from Audit Worksheet'!I35</f>
        <v>0</v>
      </c>
      <c r="I31" s="38"/>
      <c r="J31" s="348">
        <v>387</v>
      </c>
      <c r="K31" s="347" t="s">
        <v>195</v>
      </c>
      <c r="L31" s="585">
        <f t="shared" si="4"/>
        <v>0</v>
      </c>
      <c r="P31" s="319"/>
      <c r="W31" s="3" t="b">
        <f t="shared" si="0"/>
        <v>1</v>
      </c>
      <c r="X31" s="582">
        <f t="shared" si="1"/>
        <v>0</v>
      </c>
      <c r="Y31" s="582">
        <f t="shared" si="2"/>
        <v>0</v>
      </c>
    </row>
    <row r="32" spans="1:25" ht="82.5" customHeight="1" x14ac:dyDescent="0.3">
      <c r="A32" s="337">
        <f>'Unit Data from Audit Worksheet'!A36</f>
        <v>389</v>
      </c>
      <c r="B32" s="351" t="str">
        <f>'Unit Data from Audit Worksheet'!C36</f>
        <v>Statement of Activities - Governmental</v>
      </c>
      <c r="C32" s="336" t="str">
        <f>'Unit Data from Audit Worksheet'!D36</f>
        <v>Total Special and Extraordinary items.    (Amounts that increase net position are recorded as positive and amounts that decrease net position are recorded as negative)</v>
      </c>
      <c r="D32" s="110"/>
      <c r="E32" s="357">
        <f>'Unit Data from Audit Worksheet'!F36</f>
        <v>0</v>
      </c>
      <c r="F32" s="350"/>
      <c r="G32" s="352"/>
      <c r="H32" s="349">
        <f>'Unit Data from Audit Worksheet'!I36</f>
        <v>0</v>
      </c>
      <c r="I32" s="38"/>
      <c r="J32" s="348">
        <v>389</v>
      </c>
      <c r="K32" s="347" t="s">
        <v>196</v>
      </c>
      <c r="L32" s="585">
        <f t="shared" si="4"/>
        <v>0</v>
      </c>
      <c r="N32" s="594"/>
      <c r="P32" s="319"/>
      <c r="W32" s="3" t="b">
        <f t="shared" si="0"/>
        <v>1</v>
      </c>
      <c r="X32" s="582">
        <f t="shared" si="1"/>
        <v>0</v>
      </c>
      <c r="Y32" s="582">
        <f t="shared" si="2"/>
        <v>0</v>
      </c>
    </row>
    <row r="33" spans="1:25" ht="79.5" customHeight="1" x14ac:dyDescent="0.3">
      <c r="A33" s="337">
        <f>'Unit Data from Audit Worksheet'!A37</f>
        <v>255</v>
      </c>
      <c r="B33" s="351" t="str">
        <f>'Unit Data from Audit Worksheet'!C37</f>
        <v>Statement of Activities - Governmental</v>
      </c>
      <c r="C33" s="336" t="str">
        <f>'Unit Data from Audit Worksheet'!D37</f>
        <v>Total Change in net position - (Increase in net position is recorded as a positive and a decrease in net position is recorded as a negative)</v>
      </c>
      <c r="D33" s="110"/>
      <c r="E33" s="357">
        <f>'Unit Data from Audit Worksheet'!F37</f>
        <v>0</v>
      </c>
      <c r="F33" s="350">
        <f>IF((L26+L27+L28+L29+L30-L31+L32-L25-L33)=0,,"Total revenues less total expenses do not equal total change in net position. Acct 339+504+505+341+386-387+389-388-255=0")</f>
        <v>0</v>
      </c>
      <c r="G33" s="91">
        <f>L26+L27+L28+L29+L30-L31+L32-L25-L33</f>
        <v>0</v>
      </c>
      <c r="H33" s="349">
        <f>'Unit Data from Audit Worksheet'!I37</f>
        <v>0</v>
      </c>
      <c r="I33" s="38"/>
      <c r="J33" s="348">
        <v>255</v>
      </c>
      <c r="K33" s="347" t="s">
        <v>197</v>
      </c>
      <c r="L33" s="585">
        <f t="shared" si="4"/>
        <v>0</v>
      </c>
      <c r="O33" s="593" t="e">
        <f>'Unit Data from Audit Worksheet'!E37</f>
        <v>#N/A</v>
      </c>
      <c r="P33" s="319"/>
      <c r="Q33" s="575">
        <f>IF(G33&lt;&gt;0,1,0)</f>
        <v>0</v>
      </c>
      <c r="W33" s="3" t="b">
        <f t="shared" si="0"/>
        <v>1</v>
      </c>
      <c r="X33" s="582">
        <f t="shared" si="1"/>
        <v>0</v>
      </c>
      <c r="Y33" s="582">
        <f t="shared" si="2"/>
        <v>0</v>
      </c>
    </row>
    <row r="34" spans="1:25" ht="89.25" customHeight="1" x14ac:dyDescent="0.3">
      <c r="A34" s="337">
        <f>'Unit Data from Audit Worksheet'!A38</f>
        <v>376</v>
      </c>
      <c r="B34" s="351" t="str">
        <f>'Unit Data from Audit Worksheet'!C38</f>
        <v>Statement of Activities - Governmental</v>
      </c>
      <c r="C34" s="336" t="str">
        <f>'Unit Data from Audit Worksheet'!D38</f>
        <v>Any adjustment to beginning net position including rounding, prior period adjustments and restatements.   (Increases to net position are positive; decreases to net position are negative)</v>
      </c>
      <c r="D34" s="110"/>
      <c r="E34" s="357">
        <f>'Unit Data from Audit Worksheet'!F38</f>
        <v>0</v>
      </c>
      <c r="F34" s="87" t="e">
        <f>IF(L19+L20+L21-L33-L34=O19+O20+O21,,"Beginning Balance does not agree with our records acct (252+253+254-255-376=PY252+PY253+PY254)")</f>
        <v>#N/A</v>
      </c>
      <c r="G34" s="92" t="e">
        <f>L19+L20+L21-L33-L34-(O19+O20+O21)</f>
        <v>#N/A</v>
      </c>
      <c r="H34" s="349" t="str">
        <f>'Unit Data from Audit Worksheet'!I38</f>
        <v>Please do not enter prior's years beginning balance as an adjustment in column F.</v>
      </c>
      <c r="I34" s="38"/>
      <c r="J34" s="348">
        <v>376</v>
      </c>
      <c r="K34" s="347" t="s">
        <v>108</v>
      </c>
      <c r="L34" s="585">
        <f t="shared" si="4"/>
        <v>0</v>
      </c>
      <c r="O34" s="593" t="e">
        <f>'Unit Data from Audit Worksheet'!E38</f>
        <v>#N/A</v>
      </c>
      <c r="P34" s="319"/>
      <c r="Q34" s="575" t="e">
        <f>IF(G34&lt;&gt;0,1,0)</f>
        <v>#N/A</v>
      </c>
      <c r="W34" s="3" t="b">
        <f t="shared" si="0"/>
        <v>1</v>
      </c>
      <c r="X34" s="582">
        <f t="shared" si="1"/>
        <v>0</v>
      </c>
      <c r="Y34" s="582">
        <f t="shared" si="2"/>
        <v>0</v>
      </c>
    </row>
    <row r="35" spans="1:25" ht="157.5" customHeight="1" x14ac:dyDescent="0.3">
      <c r="A35" s="337">
        <f>'Unit Data from Audit Worksheet'!A39</f>
        <v>597</v>
      </c>
      <c r="B35" s="351" t="str">
        <f>'Unit Data from Audit Worksheet'!C39</f>
        <v>Statement of Activities                               (all governmental and business funds)</v>
      </c>
      <c r="C35" s="33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7">
        <f>'Unit Data from Audit Worksheet'!F39</f>
        <v>0</v>
      </c>
      <c r="F35" s="350">
        <f>IF(L35&lt;0,"Error: Number is normally positive.",)</f>
        <v>0</v>
      </c>
      <c r="G35" s="352"/>
      <c r="H35" s="349">
        <f>'Unit Data from Audit Worksheet'!I39</f>
        <v>0</v>
      </c>
      <c r="I35" s="38"/>
      <c r="J35" s="348">
        <v>597</v>
      </c>
      <c r="K35" s="347" t="s">
        <v>675</v>
      </c>
      <c r="L35" s="585">
        <f t="shared" si="4"/>
        <v>0</v>
      </c>
      <c r="O35" s="593"/>
      <c r="P35" s="319"/>
      <c r="W35" s="3" t="b">
        <f t="shared" si="0"/>
        <v>1</v>
      </c>
      <c r="X35" s="582">
        <f t="shared" si="1"/>
        <v>0</v>
      </c>
      <c r="Y35" s="582">
        <f t="shared" si="2"/>
        <v>0</v>
      </c>
    </row>
    <row r="36" spans="1:25" ht="90" customHeight="1" x14ac:dyDescent="0.3">
      <c r="A36" s="337">
        <f>'Unit Data from Audit Worksheet'!A41</f>
        <v>592</v>
      </c>
      <c r="B36" s="351" t="str">
        <f>'Unit Data from Audit Worksheet'!C41</f>
        <v>Statement of Activities - Business Activities</v>
      </c>
      <c r="C36" s="336" t="str">
        <f>'Unit Data from Audit Worksheet'!D41</f>
        <v>Total Change in net position Business Type 
(Increase in net position is recorded as a positive and a decrease in net position is recorded as a negative)</v>
      </c>
      <c r="D36" s="110"/>
      <c r="E36" s="357">
        <f>'Unit Data from Audit Worksheet'!F41</f>
        <v>0</v>
      </c>
      <c r="F36" s="350"/>
      <c r="G36" s="352"/>
      <c r="H36" s="349">
        <f>'Unit Data from Audit Worksheet'!I41</f>
        <v>0</v>
      </c>
      <c r="I36" s="38"/>
      <c r="J36" s="348">
        <v>592</v>
      </c>
      <c r="K36" s="347" t="s">
        <v>610</v>
      </c>
      <c r="L36" s="585">
        <f t="shared" si="4"/>
        <v>0</v>
      </c>
      <c r="O36" s="593"/>
      <c r="P36" s="319"/>
      <c r="W36" s="3" t="b">
        <f t="shared" ref="W36:W66" si="6">EXACT(A36,J36)</f>
        <v>1</v>
      </c>
      <c r="X36" s="582">
        <f t="shared" si="1"/>
        <v>0</v>
      </c>
      <c r="Y36" s="582">
        <f t="shared" si="2"/>
        <v>0</v>
      </c>
    </row>
    <row r="37" spans="1:25" ht="66" customHeight="1" x14ac:dyDescent="0.3">
      <c r="A37" s="337">
        <f>'Unit Data from Audit Worksheet'!A42</f>
        <v>591</v>
      </c>
      <c r="B37" s="351" t="str">
        <f>'Unit Data from Audit Worksheet'!C42</f>
        <v>Statement of Activities - Business Activities</v>
      </c>
      <c r="C37" s="336" t="str">
        <f>'Unit Data from Audit Worksheet'!D42</f>
        <v>Total Expenses - Exclude Transfers</v>
      </c>
      <c r="D37" s="110"/>
      <c r="E37" s="357">
        <f>'Unit Data from Audit Worksheet'!F42</f>
        <v>0</v>
      </c>
      <c r="F37" s="350">
        <f>IF(L37&lt;0,"Error: Enter as a positive.",)</f>
        <v>0</v>
      </c>
      <c r="G37" s="352"/>
      <c r="H37" s="349">
        <f>'Unit Data from Audit Worksheet'!I42</f>
        <v>0</v>
      </c>
      <c r="I37" s="38"/>
      <c r="J37" s="348">
        <v>591</v>
      </c>
      <c r="K37" s="347" t="s">
        <v>609</v>
      </c>
      <c r="L37" s="585">
        <f t="shared" si="4"/>
        <v>0</v>
      </c>
      <c r="O37" s="593"/>
      <c r="P37" s="319"/>
      <c r="W37" s="3" t="b">
        <f t="shared" si="6"/>
        <v>1</v>
      </c>
      <c r="X37" s="582">
        <f t="shared" si="1"/>
        <v>0</v>
      </c>
      <c r="Y37" s="582">
        <f t="shared" si="2"/>
        <v>0</v>
      </c>
    </row>
    <row r="38" spans="1:25" s="721" customFormat="1" ht="66" customHeight="1" x14ac:dyDescent="0.3">
      <c r="A38" s="337">
        <f>'Unit Data from Audit Worksheet'!A43</f>
        <v>593</v>
      </c>
      <c r="B38" s="351" t="str">
        <f>'Unit Data from Audit Worksheet'!C43</f>
        <v>Statement of Activities - Business Activities</v>
      </c>
      <c r="C38" s="336" t="str">
        <f>'Unit Data from Audit Worksheet'!D43</f>
        <v>Total Transfers in    (Preference is that transfers-in  are not netted against transfers-out)</v>
      </c>
      <c r="D38" s="110"/>
      <c r="E38" s="357">
        <f>'Unit Data from Audit Worksheet'!F43</f>
        <v>0</v>
      </c>
      <c r="F38" s="350"/>
      <c r="G38" s="352"/>
      <c r="H38" s="349"/>
      <c r="I38" s="723"/>
      <c r="J38" s="348">
        <v>593</v>
      </c>
      <c r="K38" s="726" t="s">
        <v>1397</v>
      </c>
      <c r="L38" s="585">
        <f t="shared" si="4"/>
        <v>0</v>
      </c>
      <c r="O38" s="593"/>
      <c r="P38" s="319"/>
      <c r="Q38" s="575"/>
      <c r="X38" s="582"/>
      <c r="Y38" s="582"/>
    </row>
    <row r="39" spans="1:25" s="721" customFormat="1" ht="66" customHeight="1" x14ac:dyDescent="0.3">
      <c r="A39" s="337">
        <f>'Unit Data from Audit Worksheet'!A44</f>
        <v>594</v>
      </c>
      <c r="B39" s="351" t="str">
        <f>'Unit Data from Audit Worksheet'!C44</f>
        <v>Statement of Activities - Business Activities</v>
      </c>
      <c r="C39" s="336" t="str">
        <f>'Unit Data from Audit Worksheet'!D44</f>
        <v>Total Transfers out    (Preference is that transfers-in  are not netted against transfers-out)</v>
      </c>
      <c r="D39" s="110"/>
      <c r="E39" s="357">
        <f>'Unit Data from Audit Worksheet'!F44</f>
        <v>0</v>
      </c>
      <c r="F39" s="350"/>
      <c r="G39" s="352"/>
      <c r="H39" s="349"/>
      <c r="I39" s="723"/>
      <c r="J39" s="348">
        <v>594</v>
      </c>
      <c r="K39" s="726" t="s">
        <v>1398</v>
      </c>
      <c r="L39" s="585">
        <f t="shared" si="4"/>
        <v>0</v>
      </c>
      <c r="O39" s="593"/>
      <c r="P39" s="319"/>
      <c r="Q39" s="575"/>
      <c r="X39" s="582"/>
      <c r="Y39" s="582"/>
    </row>
    <row r="40" spans="1:25" s="721" customFormat="1" ht="66" customHeight="1" x14ac:dyDescent="0.3">
      <c r="A40" s="337">
        <f>'Unit Data from Audit Worksheet'!A46</f>
        <v>558</v>
      </c>
      <c r="B40" s="351" t="str">
        <f>'Unit Data from Audit Worksheet'!C46</f>
        <v>Mental Health-Balance Sheet - Non GAAP</v>
      </c>
      <c r="C40" s="336" t="str">
        <f>'Unit Data from Audit Worksheet'!D46</f>
        <v xml:space="preserve">All unrestricted cash and investments.  
Exclude restricted cash and cash held by a third party. </v>
      </c>
      <c r="D40" s="110"/>
      <c r="E40" s="357">
        <f>'Unit Data from Audit Worksheet'!F46</f>
        <v>0</v>
      </c>
      <c r="F40" s="350"/>
      <c r="G40" s="352"/>
      <c r="H40" s="349"/>
      <c r="I40" s="723"/>
      <c r="J40" s="348">
        <v>558</v>
      </c>
      <c r="K40" s="722" t="s">
        <v>1399</v>
      </c>
      <c r="L40" s="585">
        <f t="shared" si="4"/>
        <v>0</v>
      </c>
      <c r="O40" s="593"/>
      <c r="P40" s="319"/>
      <c r="Q40" s="575"/>
      <c r="X40" s="582"/>
      <c r="Y40" s="582"/>
    </row>
    <row r="41" spans="1:25" s="721" customFormat="1" ht="66" customHeight="1" x14ac:dyDescent="0.3">
      <c r="A41" s="337">
        <f>'Unit Data from Audit Worksheet'!A47</f>
        <v>559</v>
      </c>
      <c r="B41" s="351" t="str">
        <f>'Unit Data from Audit Worksheet'!C47</f>
        <v>Mental Health-Balance Sheet - Non GAAP</v>
      </c>
      <c r="C41" s="336" t="str">
        <f>'Unit Data from Audit Worksheet'!D47</f>
        <v>All restricted cash and investments</v>
      </c>
      <c r="D41" s="110"/>
      <c r="E41" s="357">
        <f>'Unit Data from Audit Worksheet'!F47</f>
        <v>0</v>
      </c>
      <c r="F41" s="350"/>
      <c r="G41" s="352"/>
      <c r="H41" s="349"/>
      <c r="I41" s="723"/>
      <c r="J41" s="348">
        <v>559</v>
      </c>
      <c r="K41" s="722" t="s">
        <v>1400</v>
      </c>
      <c r="L41" s="585">
        <f t="shared" si="4"/>
        <v>0</v>
      </c>
      <c r="O41" s="593"/>
      <c r="P41" s="319"/>
      <c r="Q41" s="575"/>
      <c r="X41" s="582"/>
      <c r="Y41" s="582"/>
    </row>
    <row r="42" spans="1:25" s="721" customFormat="1" ht="124.5" customHeight="1" x14ac:dyDescent="0.3">
      <c r="A42" s="337">
        <f>'Unit Data from Audit Worksheet'!A48</f>
        <v>560</v>
      </c>
      <c r="B42" s="351" t="str">
        <f>'Unit Data from Audit Worksheet'!C48</f>
        <v>Mental Health-Balance Sheet - Non GAAP</v>
      </c>
      <c r="C42" s="336" t="str">
        <f>'Unit Data from Audit Worksheet'!D48</f>
        <v>Current Liabilities 
Exclude: all deferred inflows
                 current debt service payments
Include: Liabilities payable from restricted assets.</v>
      </c>
      <c r="D42" s="110"/>
      <c r="E42" s="357">
        <f>'Unit Data from Audit Worksheet'!F48</f>
        <v>0</v>
      </c>
      <c r="F42" s="350"/>
      <c r="G42" s="352"/>
      <c r="H42" s="349"/>
      <c r="I42" s="723"/>
      <c r="J42" s="348">
        <v>560</v>
      </c>
      <c r="K42" s="722" t="s">
        <v>1401</v>
      </c>
      <c r="L42" s="585">
        <f t="shared" si="4"/>
        <v>0</v>
      </c>
      <c r="O42" s="593"/>
      <c r="P42" s="319"/>
      <c r="Q42" s="575"/>
      <c r="X42" s="582"/>
      <c r="Y42" s="582"/>
    </row>
    <row r="43" spans="1:25" s="721" customFormat="1" ht="66" customHeight="1" x14ac:dyDescent="0.3">
      <c r="A43" s="337">
        <f>'Unit Data from Audit Worksheet'!A49</f>
        <v>561</v>
      </c>
      <c r="B43" s="351" t="str">
        <f>'Unit Data from Audit Worksheet'!C49</f>
        <v>Mental Health-Balance Sheet - Non GAAP</v>
      </c>
      <c r="C43" s="336" t="str">
        <f>'Unit Data from Audit Worksheet'!D49</f>
        <v xml:space="preserve">Mental Health Enterprise Fund Non GAAP deferred inflows or liabilities derived from cash receipts.   </v>
      </c>
      <c r="D43" s="110"/>
      <c r="E43" s="357">
        <f>'Unit Data from Audit Worksheet'!F49</f>
        <v>0</v>
      </c>
      <c r="F43" s="350"/>
      <c r="G43" s="352"/>
      <c r="H43" s="349"/>
      <c r="I43" s="723"/>
      <c r="J43" s="348">
        <v>561</v>
      </c>
      <c r="K43" s="722" t="s">
        <v>1402</v>
      </c>
      <c r="L43" s="585">
        <f t="shared" si="4"/>
        <v>0</v>
      </c>
      <c r="O43" s="593"/>
      <c r="P43" s="319"/>
      <c r="Q43" s="575"/>
      <c r="X43" s="582"/>
      <c r="Y43" s="582"/>
    </row>
    <row r="44" spans="1:25" s="721" customFormat="1" ht="137.25" customHeight="1" x14ac:dyDescent="0.3">
      <c r="A44" s="337">
        <f>'Unit Data from Audit Worksheet'!A50</f>
        <v>563</v>
      </c>
      <c r="B44" s="351" t="str">
        <f>'Unit Data from Audit Worksheet'!C50</f>
        <v>Mental Health-Balance Sheet - Non GAAP</v>
      </c>
      <c r="C44" s="336"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7">
        <f>'Unit Data from Audit Worksheet'!F50</f>
        <v>0</v>
      </c>
      <c r="F44" s="350"/>
      <c r="G44" s="352"/>
      <c r="H44" s="349"/>
      <c r="I44" s="723"/>
      <c r="J44" s="348">
        <v>563</v>
      </c>
      <c r="K44" s="722" t="s">
        <v>1403</v>
      </c>
      <c r="L44" s="585">
        <f t="shared" si="4"/>
        <v>0</v>
      </c>
      <c r="O44" s="593"/>
      <c r="P44" s="319"/>
      <c r="Q44" s="575"/>
      <c r="X44" s="582"/>
      <c r="Y44" s="582"/>
    </row>
    <row r="45" spans="1:25" s="721" customFormat="1" ht="66" customHeight="1" x14ac:dyDescent="0.3">
      <c r="A45" s="337">
        <f>'Unit Data from Audit Worksheet'!A51</f>
        <v>564</v>
      </c>
      <c r="B45" s="351" t="str">
        <f>'Unit Data from Audit Worksheet'!C51</f>
        <v>Mental Health Enterprise Fund Non GAAP-Rev, Exp. Change in Fund Balance</v>
      </c>
      <c r="C45" s="336" t="str">
        <f>'Unit Data from Audit Worksheet'!D51</f>
        <v>Total expenditures  
Exclude: expenditures in the ""other financing sources (uses)"" section.</v>
      </c>
      <c r="D45" s="110"/>
      <c r="E45" s="357">
        <f>'Unit Data from Audit Worksheet'!F51</f>
        <v>0</v>
      </c>
      <c r="F45" s="350"/>
      <c r="G45" s="352"/>
      <c r="H45" s="349"/>
      <c r="I45" s="723"/>
      <c r="J45" s="348">
        <v>564</v>
      </c>
      <c r="K45" s="722" t="s">
        <v>1404</v>
      </c>
      <c r="L45" s="585">
        <f t="shared" si="4"/>
        <v>0</v>
      </c>
      <c r="O45" s="593"/>
      <c r="P45" s="319"/>
      <c r="Q45" s="575"/>
      <c r="X45" s="582"/>
      <c r="Y45" s="582"/>
    </row>
    <row r="46" spans="1:25" s="721" customFormat="1" ht="66" customHeight="1" x14ac:dyDescent="0.3">
      <c r="A46" s="337">
        <f>'Unit Data from Audit Worksheet'!A52</f>
        <v>568</v>
      </c>
      <c r="B46" s="351" t="str">
        <f>'Unit Data from Audit Worksheet'!C52</f>
        <v>Mental Health Enterprise Fund Non GAAP-Rev, Exp. Change in Fund Balance</v>
      </c>
      <c r="C46" s="336" t="str">
        <f>'Unit Data from Audit Worksheet'!D52</f>
        <v>Total Proceeds from all long-term debt issuances 
Exclude: proceeds from refundings</v>
      </c>
      <c r="D46" s="110"/>
      <c r="E46" s="357">
        <f>'Unit Data from Audit Worksheet'!F52</f>
        <v>0</v>
      </c>
      <c r="F46" s="350"/>
      <c r="G46" s="352"/>
      <c r="H46" s="349"/>
      <c r="I46" s="723"/>
      <c r="J46" s="348">
        <v>568</v>
      </c>
      <c r="K46" s="722" t="s">
        <v>1405</v>
      </c>
      <c r="L46" s="585">
        <f t="shared" si="4"/>
        <v>0</v>
      </c>
      <c r="O46" s="593"/>
      <c r="P46" s="319"/>
      <c r="Q46" s="575"/>
      <c r="X46" s="582"/>
      <c r="Y46" s="582"/>
    </row>
    <row r="47" spans="1:25" s="725" customFormat="1" ht="66" customHeight="1" x14ac:dyDescent="0.3">
      <c r="A47" s="337">
        <f>'Unit Data from Audit Worksheet'!A53</f>
        <v>565</v>
      </c>
      <c r="B47" s="351" t="str">
        <f>'Unit Data from Audit Worksheet'!C53</f>
        <v>Mental Health Enterprise Fund Non GAAP-Rev, Exp. Change in Fund Balance</v>
      </c>
      <c r="C47" s="336" t="str">
        <f>'Unit Data from Audit Worksheet'!D53</f>
        <v>Debt Refunding - Net refunding proceeds against debt payoff and if negative place results on this line.</v>
      </c>
      <c r="D47" s="110"/>
      <c r="E47" s="357">
        <f>'Unit Data from Audit Worksheet'!F53</f>
        <v>0</v>
      </c>
      <c r="F47" s="350"/>
      <c r="G47" s="352"/>
      <c r="H47" s="349"/>
      <c r="I47" s="727"/>
      <c r="J47" s="348">
        <v>565</v>
      </c>
      <c r="K47" s="722" t="s">
        <v>1539</v>
      </c>
      <c r="L47" s="585">
        <f t="shared" si="4"/>
        <v>0</v>
      </c>
      <c r="O47" s="593"/>
      <c r="P47" s="319"/>
      <c r="Q47" s="575"/>
      <c r="X47" s="582"/>
      <c r="Y47" s="582"/>
    </row>
    <row r="48" spans="1:25" s="721" customFormat="1" ht="66" customHeight="1" x14ac:dyDescent="0.3">
      <c r="A48" s="337">
        <f>'Unit Data from Audit Worksheet'!A54</f>
        <v>566</v>
      </c>
      <c r="B48" s="351" t="str">
        <f>'Unit Data from Audit Worksheet'!C54</f>
        <v>Mental Health Enterprise Fund Non GAAP-Rev, Exp. Change in Fund Balance</v>
      </c>
      <c r="C48" s="336" t="str">
        <f>'Unit Data from Audit Worksheet'!D54</f>
        <v>Debt Refunding - Net refunding proceeds against debt payoff and if positive place results on this line.</v>
      </c>
      <c r="D48" s="110"/>
      <c r="E48" s="357">
        <f>'Unit Data from Audit Worksheet'!F54</f>
        <v>0</v>
      </c>
      <c r="F48" s="350"/>
      <c r="G48" s="352"/>
      <c r="H48" s="349"/>
      <c r="I48" s="723"/>
      <c r="J48" s="348">
        <v>566</v>
      </c>
      <c r="K48" s="722" t="s">
        <v>1406</v>
      </c>
      <c r="L48" s="585">
        <f t="shared" si="4"/>
        <v>0</v>
      </c>
      <c r="O48" s="593"/>
      <c r="P48" s="319"/>
      <c r="Q48" s="575"/>
      <c r="X48" s="582"/>
      <c r="Y48" s="582"/>
    </row>
    <row r="49" spans="1:25" s="721" customFormat="1" ht="66" customHeight="1" x14ac:dyDescent="0.3">
      <c r="A49" s="337">
        <f>'Unit Data from Audit Worksheet'!A55</f>
        <v>567</v>
      </c>
      <c r="B49" s="351" t="str">
        <f>'Unit Data from Audit Worksheet'!C55</f>
        <v>Mental Health Enterprise Fund Non GAAP-Rev, Exp. Change in Fund Balance</v>
      </c>
      <c r="C49" s="336" t="str">
        <f>'Unit Data from Audit Worksheet'!D55</f>
        <v>Total Transfers out    (Preference is that transfers-in  are not netted against transfers-out)</v>
      </c>
      <c r="D49" s="110"/>
      <c r="E49" s="357">
        <f>'Unit Data from Audit Worksheet'!F55</f>
        <v>0</v>
      </c>
      <c r="F49" s="350"/>
      <c r="G49" s="352"/>
      <c r="H49" s="349"/>
      <c r="I49" s="723"/>
      <c r="J49" s="348">
        <v>567</v>
      </c>
      <c r="K49" s="722" t="s">
        <v>1407</v>
      </c>
      <c r="L49" s="585">
        <f t="shared" si="4"/>
        <v>0</v>
      </c>
      <c r="O49" s="593"/>
      <c r="P49" s="319"/>
      <c r="Q49" s="575"/>
      <c r="X49" s="582"/>
      <c r="Y49" s="582"/>
    </row>
    <row r="50" spans="1:25" s="721" customFormat="1" ht="66" customHeight="1" x14ac:dyDescent="0.3">
      <c r="A50" s="337">
        <f>'Unit Data from Audit Worksheet'!A56</f>
        <v>562</v>
      </c>
      <c r="B50" s="351" t="str">
        <f>'Unit Data from Audit Worksheet'!C56</f>
        <v>Notes</v>
      </c>
      <c r="C50" s="336" t="str">
        <f>'Unit Data from Audit Worksheet'!D56</f>
        <v>Mental Health Enterprise Fund Non GAAP -  Total Encumbrances.  You will have to refer to the note disclosure where the amount of encumbrances is listed.</v>
      </c>
      <c r="D50" s="110"/>
      <c r="E50" s="357">
        <f>'Unit Data from Audit Worksheet'!F56</f>
        <v>0</v>
      </c>
      <c r="F50" s="350"/>
      <c r="G50" s="352"/>
      <c r="H50" s="349"/>
      <c r="I50" s="723"/>
      <c r="J50" s="348">
        <v>562</v>
      </c>
      <c r="K50" s="722" t="s">
        <v>1408</v>
      </c>
      <c r="L50" s="585">
        <f t="shared" si="4"/>
        <v>0</v>
      </c>
      <c r="O50" s="593"/>
      <c r="P50" s="319"/>
      <c r="Q50" s="575"/>
      <c r="X50" s="582"/>
      <c r="Y50" s="582"/>
    </row>
    <row r="51" spans="1:25" s="721" customFormat="1" ht="66" customHeight="1" x14ac:dyDescent="0.3">
      <c r="A51" s="337">
        <f>'Unit Data from Audit Worksheet'!A57</f>
        <v>569</v>
      </c>
      <c r="B51" s="351" t="str">
        <f>'Unit Data from Audit Worksheet'!C57</f>
        <v>Notes</v>
      </c>
      <c r="C51" s="336" t="str">
        <f>'Unit Data from Audit Worksheet'!D57</f>
        <v>Please enter the principal and interest due next fiscal year on existing borrowings.</v>
      </c>
      <c r="D51" s="110"/>
      <c r="E51" s="357">
        <f>'Unit Data from Audit Worksheet'!F57</f>
        <v>0</v>
      </c>
      <c r="F51" s="350"/>
      <c r="G51" s="352"/>
      <c r="H51" s="349"/>
      <c r="I51" s="723"/>
      <c r="J51" s="348">
        <v>569</v>
      </c>
      <c r="K51" s="722" t="s">
        <v>1409</v>
      </c>
      <c r="L51" s="585">
        <f t="shared" si="4"/>
        <v>0</v>
      </c>
      <c r="O51" s="593"/>
      <c r="P51" s="319"/>
      <c r="Q51" s="575"/>
      <c r="X51" s="582"/>
      <c r="Y51" s="582"/>
    </row>
    <row r="52" spans="1:25" ht="54" customHeight="1" x14ac:dyDescent="0.3">
      <c r="A52" s="337">
        <f>'Unit Data from Audit Worksheet'!A59</f>
        <v>506</v>
      </c>
      <c r="B52" s="53" t="str">
        <f>'Unit Data from Audit Worksheet'!C59</f>
        <v>General Fund-Balance Sheet</v>
      </c>
      <c r="C52" s="595"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9">
        <f>'Unit Data from Audit Worksheet'!I59</f>
        <v>0</v>
      </c>
      <c r="I52" s="38"/>
      <c r="J52" s="41">
        <v>506</v>
      </c>
      <c r="K52" s="347" t="s">
        <v>198</v>
      </c>
      <c r="L52" s="596">
        <f t="shared" ref="L52:L65" si="7">IF(D52="",E52,D52)</f>
        <v>0</v>
      </c>
      <c r="P52" s="319"/>
      <c r="W52" s="3" t="b">
        <f t="shared" si="6"/>
        <v>1</v>
      </c>
      <c r="X52" s="582">
        <f t="shared" si="1"/>
        <v>0</v>
      </c>
      <c r="Y52" s="582">
        <f t="shared" si="2"/>
        <v>0</v>
      </c>
    </row>
    <row r="53" spans="1:25" ht="45.75" customHeight="1" x14ac:dyDescent="0.3">
      <c r="A53" s="337">
        <f>'Unit Data from Audit Worksheet'!A60</f>
        <v>536</v>
      </c>
      <c r="B53" s="53" t="str">
        <f>'Unit Data from Audit Worksheet'!C60</f>
        <v>General Fund-Balance Sheet</v>
      </c>
      <c r="C53" s="595" t="str">
        <f>'Unit Data from Audit Worksheet'!D60</f>
        <v>All restricted cash and investments</v>
      </c>
      <c r="D53" s="110"/>
      <c r="E53" s="154">
        <f>'Unit Data from Audit Worksheet'!F60</f>
        <v>0</v>
      </c>
      <c r="F53" s="37">
        <f>IF(L53&lt;0,"Error: Number is normally positive.",)</f>
        <v>0</v>
      </c>
      <c r="G53" s="73"/>
      <c r="H53" s="349">
        <f>'Unit Data from Audit Worksheet'!I60</f>
        <v>0</v>
      </c>
      <c r="I53" s="38"/>
      <c r="J53" s="41">
        <v>536</v>
      </c>
      <c r="K53" s="347" t="s">
        <v>199</v>
      </c>
      <c r="L53" s="596">
        <f t="shared" si="7"/>
        <v>0</v>
      </c>
      <c r="P53" s="319"/>
      <c r="W53" s="3" t="b">
        <f t="shared" si="6"/>
        <v>1</v>
      </c>
      <c r="X53" s="582">
        <f t="shared" si="1"/>
        <v>0</v>
      </c>
      <c r="Y53" s="582">
        <f t="shared" si="2"/>
        <v>0</v>
      </c>
    </row>
    <row r="54" spans="1:25" ht="56.25" customHeight="1" x14ac:dyDescent="0.3">
      <c r="A54" s="337">
        <f>'Unit Data from Audit Worksheet'!A61</f>
        <v>586</v>
      </c>
      <c r="B54" s="351" t="str">
        <f>'Unit Data from Audit Worksheet'!C61</f>
        <v>General Fund-Balance Sheet</v>
      </c>
      <c r="C54" s="336" t="str">
        <f>'Unit Data from Audit Worksheet'!D61</f>
        <v>Advance To: Interfund loan receivable-portion of repayment plan longer than 12 months</v>
      </c>
      <c r="D54" s="144"/>
      <c r="E54" s="357">
        <f>'Unit Data from Audit Worksheet'!F61</f>
        <v>0</v>
      </c>
      <c r="F54" s="350"/>
      <c r="G54" s="352"/>
      <c r="H54" s="349"/>
      <c r="I54" s="38"/>
      <c r="J54" s="348">
        <v>586</v>
      </c>
      <c r="K54" s="336" t="s">
        <v>561</v>
      </c>
      <c r="L54" s="585">
        <f t="shared" si="7"/>
        <v>0</v>
      </c>
      <c r="P54" s="319"/>
      <c r="W54" s="3" t="b">
        <f t="shared" si="6"/>
        <v>1</v>
      </c>
      <c r="X54" s="582">
        <f t="shared" si="1"/>
        <v>0</v>
      </c>
      <c r="Y54" s="582">
        <f t="shared" si="2"/>
        <v>0</v>
      </c>
    </row>
    <row r="55" spans="1:25" ht="28.8" x14ac:dyDescent="0.3">
      <c r="A55" s="337">
        <f>'Unit Data from Audit Worksheet'!A62</f>
        <v>379</v>
      </c>
      <c r="B55" s="351" t="str">
        <f>'Unit Data from Audit Worksheet'!C62</f>
        <v>General Fund-Balance Sheet</v>
      </c>
      <c r="C55" s="336" t="str">
        <f>'Unit Data from Audit Worksheet'!D62</f>
        <v>Total Assets and deferred outflows</v>
      </c>
      <c r="D55" s="144"/>
      <c r="E55" s="357">
        <f>'Unit Data from Audit Worksheet'!F62</f>
        <v>0</v>
      </c>
      <c r="F55" s="84">
        <f>IF((L52+L53)&gt;L55,"Error: Please review accts (506+536)&gt;379",)</f>
        <v>0</v>
      </c>
      <c r="G55" s="352" t="str">
        <f>IF(Q55=1," Included in error count"," ")</f>
        <v xml:space="preserve"> </v>
      </c>
      <c r="H55" s="349">
        <f>'Unit Data from Audit Worksheet'!I62</f>
        <v>0</v>
      </c>
      <c r="I55" s="38"/>
      <c r="J55" s="348">
        <v>379</v>
      </c>
      <c r="K55" s="347" t="s">
        <v>118</v>
      </c>
      <c r="L55" s="585">
        <f t="shared" si="7"/>
        <v>0</v>
      </c>
      <c r="P55" s="319"/>
      <c r="Q55" s="575">
        <f>IF(L52+L53&gt;L55,1,0)</f>
        <v>0</v>
      </c>
      <c r="W55" s="3" t="b">
        <f t="shared" si="6"/>
        <v>1</v>
      </c>
      <c r="X55" s="582">
        <f t="shared" si="1"/>
        <v>0</v>
      </c>
      <c r="Y55" s="582">
        <f t="shared" si="2"/>
        <v>0</v>
      </c>
    </row>
    <row r="56" spans="1:25" ht="106.5" customHeight="1" x14ac:dyDescent="0.3">
      <c r="A56" s="337">
        <f>'Unit Data from Audit Worksheet'!A63</f>
        <v>368</v>
      </c>
      <c r="B56" s="351" t="str">
        <f>'Unit Data from Audit Worksheet'!C63</f>
        <v>General Fund-Balance Sheet</v>
      </c>
      <c r="C56" s="336"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7">
        <f>'Unit Data from Audit Worksheet'!F63</f>
        <v>0</v>
      </c>
      <c r="F56" s="350">
        <f>IF(L56&lt;0,"Error: Enter as a positive.",)</f>
        <v>0</v>
      </c>
      <c r="G56" s="352"/>
      <c r="H56" s="349">
        <f>'Unit Data from Audit Worksheet'!I63</f>
        <v>0</v>
      </c>
      <c r="I56" s="38"/>
      <c r="J56" s="348">
        <v>368</v>
      </c>
      <c r="K56" s="347" t="s">
        <v>200</v>
      </c>
      <c r="L56" s="585">
        <f t="shared" si="7"/>
        <v>0</v>
      </c>
      <c r="P56" s="319"/>
      <c r="W56" s="3" t="b">
        <f t="shared" si="6"/>
        <v>1</v>
      </c>
      <c r="X56" s="582">
        <f t="shared" si="1"/>
        <v>0</v>
      </c>
      <c r="Y56" s="582">
        <f t="shared" si="2"/>
        <v>0</v>
      </c>
    </row>
    <row r="57" spans="1:25" ht="90.75" customHeight="1" x14ac:dyDescent="0.3">
      <c r="A57" s="337">
        <f>'Unit Data from Audit Worksheet'!A64</f>
        <v>4</v>
      </c>
      <c r="B57" s="53" t="str">
        <f>'Unit Data from Audit Worksheet'!C64</f>
        <v>General Fund-Balance Sheet</v>
      </c>
      <c r="C57" s="595"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9">
        <f>'Unit Data from Audit Worksheet'!I64</f>
        <v>0</v>
      </c>
      <c r="I57" s="38"/>
      <c r="J57" s="41">
        <v>4</v>
      </c>
      <c r="K57" s="347" t="s">
        <v>119</v>
      </c>
      <c r="L57" s="596">
        <f t="shared" si="7"/>
        <v>0</v>
      </c>
      <c r="P57" s="319"/>
      <c r="W57" s="3" t="b">
        <f t="shared" si="6"/>
        <v>1</v>
      </c>
      <c r="X57" s="582">
        <f t="shared" si="1"/>
        <v>0</v>
      </c>
      <c r="Y57" s="582">
        <f t="shared" si="2"/>
        <v>0</v>
      </c>
    </row>
    <row r="58" spans="1:25" ht="131.25" customHeight="1" x14ac:dyDescent="0.3">
      <c r="A58" s="337">
        <f>'Unit Data from Audit Worksheet'!A65</f>
        <v>5</v>
      </c>
      <c r="B58" s="53" t="str">
        <f>'Unit Data from Audit Worksheet'!C65</f>
        <v>General Fund-Balance Sheet</v>
      </c>
      <c r="C58" s="595"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9">
        <f>'Unit Data from Audit Worksheet'!I65</f>
        <v>0</v>
      </c>
      <c r="I58" s="38"/>
      <c r="J58" s="41">
        <v>5</v>
      </c>
      <c r="K58" s="347" t="s">
        <v>120</v>
      </c>
      <c r="L58" s="596">
        <f t="shared" si="7"/>
        <v>0</v>
      </c>
      <c r="P58" s="319"/>
      <c r="W58" s="3" t="b">
        <f t="shared" si="6"/>
        <v>1</v>
      </c>
      <c r="X58" s="582">
        <f t="shared" si="1"/>
        <v>0</v>
      </c>
      <c r="Y58" s="582">
        <f t="shared" si="2"/>
        <v>0</v>
      </c>
    </row>
    <row r="59" spans="1:25" ht="104.25" customHeight="1" x14ac:dyDescent="0.3">
      <c r="A59" s="337">
        <f>'Unit Data from Audit Worksheet'!A66</f>
        <v>380</v>
      </c>
      <c r="B59" s="351" t="str">
        <f>'Unit Data from Audit Worksheet'!C66</f>
        <v>General Fund-Balance Sheet</v>
      </c>
      <c r="C59" s="336"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7">
        <f>'Unit Data from Audit Worksheet'!F66</f>
        <v>0</v>
      </c>
      <c r="F59" s="350">
        <f t="shared" si="8"/>
        <v>0</v>
      </c>
      <c r="G59" s="352"/>
      <c r="H59" s="349">
        <f>'Unit Data from Audit Worksheet'!I66</f>
        <v>0</v>
      </c>
      <c r="I59" s="38"/>
      <c r="J59" s="348">
        <v>380</v>
      </c>
      <c r="K59" s="347" t="s">
        <v>121</v>
      </c>
      <c r="L59" s="585">
        <f t="shared" si="7"/>
        <v>0</v>
      </c>
      <c r="P59" s="319"/>
      <c r="W59" s="3" t="b">
        <f t="shared" si="6"/>
        <v>1</v>
      </c>
      <c r="X59" s="582">
        <f t="shared" si="1"/>
        <v>0</v>
      </c>
      <c r="Y59" s="582">
        <f t="shared" si="2"/>
        <v>0</v>
      </c>
    </row>
    <row r="60" spans="1:25" ht="41.25" customHeight="1" x14ac:dyDescent="0.3">
      <c r="A60" s="337">
        <f>'Unit Data from Audit Worksheet'!A67</f>
        <v>391</v>
      </c>
      <c r="B60" s="351" t="str">
        <f>'Unit Data from Audit Worksheet'!C67</f>
        <v>General Fund-Balance Sheet</v>
      </c>
      <c r="C60" s="336" t="str">
        <f>'Unit Data from Audit Worksheet'!D67</f>
        <v xml:space="preserve">Fund balance, Restricted for Stabilization by State Statute </v>
      </c>
      <c r="D60" s="144"/>
      <c r="E60" s="357">
        <f>'Unit Data from Audit Worksheet'!F67</f>
        <v>0</v>
      </c>
      <c r="F60" s="350">
        <f t="shared" si="8"/>
        <v>0</v>
      </c>
      <c r="G60" s="352"/>
      <c r="H60" s="349">
        <f>'Unit Data from Audit Worksheet'!I67</f>
        <v>0</v>
      </c>
      <c r="I60" s="38"/>
      <c r="J60" s="348">
        <v>391</v>
      </c>
      <c r="K60" s="347" t="s">
        <v>201</v>
      </c>
      <c r="L60" s="585">
        <f t="shared" si="7"/>
        <v>0</v>
      </c>
      <c r="P60" s="319"/>
      <c r="W60" s="3" t="b">
        <f t="shared" si="6"/>
        <v>1</v>
      </c>
      <c r="X60" s="582">
        <f t="shared" si="1"/>
        <v>0</v>
      </c>
      <c r="Y60" s="582">
        <f t="shared" si="2"/>
        <v>0</v>
      </c>
    </row>
    <row r="61" spans="1:25" ht="28.8" x14ac:dyDescent="0.3">
      <c r="A61" s="337">
        <f>'Unit Data from Audit Worksheet'!A68</f>
        <v>7</v>
      </c>
      <c r="B61" s="53" t="str">
        <f>'Unit Data from Audit Worksheet'!C68</f>
        <v>General Fund-Balance Sheet</v>
      </c>
      <c r="C61" s="595" t="str">
        <f>'Unit Data from Audit Worksheet'!D68</f>
        <v>Fund balance, Nonspendable-  inventory/prepaids/etc.</v>
      </c>
      <c r="D61" s="144"/>
      <c r="E61" s="154">
        <f>'Unit Data from Audit Worksheet'!F68</f>
        <v>0</v>
      </c>
      <c r="F61" s="37">
        <f t="shared" si="8"/>
        <v>0</v>
      </c>
      <c r="G61" s="73"/>
      <c r="H61" s="349">
        <f>'Unit Data from Audit Worksheet'!I68</f>
        <v>0</v>
      </c>
      <c r="I61" s="38"/>
      <c r="J61" s="41">
        <v>7</v>
      </c>
      <c r="K61" s="347" t="s">
        <v>202</v>
      </c>
      <c r="L61" s="596">
        <f t="shared" si="7"/>
        <v>0</v>
      </c>
      <c r="P61" s="319"/>
      <c r="W61" s="3" t="b">
        <f t="shared" si="6"/>
        <v>1</v>
      </c>
      <c r="X61" s="582">
        <f t="shared" si="1"/>
        <v>0</v>
      </c>
      <c r="Y61" s="582">
        <f t="shared" si="2"/>
        <v>0</v>
      </c>
    </row>
    <row r="62" spans="1:25" ht="89.25" customHeight="1" x14ac:dyDescent="0.3">
      <c r="A62" s="597">
        <f>'Unit Data from Audit Worksheet'!A69</f>
        <v>11</v>
      </c>
      <c r="B62" s="117" t="str">
        <f>'Unit Data from Audit Worksheet'!C69</f>
        <v>General Fund-Balance Sheet</v>
      </c>
      <c r="C62" s="587"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85">
        <f t="shared" si="7"/>
        <v>0</v>
      </c>
      <c r="P62" s="320"/>
      <c r="W62" s="3" t="b">
        <f t="shared" si="6"/>
        <v>1</v>
      </c>
      <c r="X62" s="582">
        <f t="shared" si="1"/>
        <v>0</v>
      </c>
      <c r="Y62" s="582">
        <f t="shared" si="2"/>
        <v>0</v>
      </c>
    </row>
    <row r="63" spans="1:25" s="18" customFormat="1" ht="48.75" customHeight="1" x14ac:dyDescent="0.3">
      <c r="A63" s="308">
        <f>'Unit Data from Audit Worksheet'!A70</f>
        <v>645</v>
      </c>
      <c r="B63" s="364" t="str">
        <f>'Unit Data from Audit Worksheet'!C70</f>
        <v>General Fund-Balance Sheet</v>
      </c>
      <c r="C63" s="308" t="str">
        <f>'Unit Data from Audit Worksheet'!D70</f>
        <v>Fund balance, Assigned (total of all assigned components)</v>
      </c>
      <c r="D63" s="116"/>
      <c r="E63" s="363">
        <f>'Unit Data from Audit Worksheet'!F70</f>
        <v>0</v>
      </c>
      <c r="F63" s="345">
        <f>IF(L63&lt;0,"Error: Enter as a positive.",)</f>
        <v>0</v>
      </c>
      <c r="G63" s="330"/>
      <c r="H63" s="345">
        <f>'Unit Data from Audit Worksheet'!I70</f>
        <v>0</v>
      </c>
      <c r="I63" s="598"/>
      <c r="J63" s="344">
        <v>645</v>
      </c>
      <c r="K63" s="308" t="s">
        <v>745</v>
      </c>
      <c r="L63" s="599">
        <f t="shared" si="7"/>
        <v>0</v>
      </c>
      <c r="M63" s="589"/>
      <c r="N63" s="589"/>
      <c r="O63" s="589"/>
      <c r="P63" s="321"/>
      <c r="Q63" s="590"/>
      <c r="R63" s="3"/>
      <c r="S63" s="589"/>
      <c r="T63" s="589"/>
      <c r="U63" s="589"/>
      <c r="V63" s="589"/>
      <c r="W63" s="18" t="b">
        <f t="shared" si="6"/>
        <v>1</v>
      </c>
      <c r="X63" s="591">
        <f t="shared" si="1"/>
        <v>0</v>
      </c>
      <c r="Y63" s="591">
        <f t="shared" si="2"/>
        <v>0</v>
      </c>
    </row>
    <row r="64" spans="1:25" s="18" customFormat="1" ht="45.75" customHeight="1" x14ac:dyDescent="0.3">
      <c r="A64" s="308">
        <f>'Unit Data from Audit Worksheet'!A71</f>
        <v>646</v>
      </c>
      <c r="B64" s="364" t="str">
        <f>'Unit Data from Audit Worksheet'!C71</f>
        <v>General Fund-Balance Sheet</v>
      </c>
      <c r="C64" s="308" t="str">
        <f>'Unit Data from Audit Worksheet'!D71</f>
        <v>Fund Balance, Unassigned</v>
      </c>
      <c r="D64" s="116"/>
      <c r="E64" s="363">
        <f>'Unit Data from Audit Worksheet'!F71</f>
        <v>0</v>
      </c>
      <c r="F64" s="345">
        <f>IF(L64&lt;0,"Error: Enter as a positive.",)</f>
        <v>0</v>
      </c>
      <c r="G64" s="330"/>
      <c r="H64" s="345">
        <f>'Unit Data from Audit Worksheet'!I71</f>
        <v>0</v>
      </c>
      <c r="I64" s="598"/>
      <c r="J64" s="344">
        <v>646</v>
      </c>
      <c r="K64" s="308" t="s">
        <v>746</v>
      </c>
      <c r="L64" s="599">
        <f t="shared" si="7"/>
        <v>0</v>
      </c>
      <c r="M64" s="589"/>
      <c r="N64" s="589"/>
      <c r="O64" s="589"/>
      <c r="P64" s="321"/>
      <c r="Q64" s="590"/>
      <c r="R64" s="3"/>
      <c r="S64" s="589"/>
      <c r="T64" s="589"/>
      <c r="U64" s="589"/>
      <c r="V64" s="589"/>
      <c r="W64" s="18" t="b">
        <f t="shared" si="6"/>
        <v>1</v>
      </c>
      <c r="X64" s="591">
        <f t="shared" si="1"/>
        <v>0</v>
      </c>
      <c r="Y64" s="591">
        <f t="shared" si="2"/>
        <v>0</v>
      </c>
    </row>
    <row r="65" spans="1:27" ht="55.5" customHeight="1" x14ac:dyDescent="0.3">
      <c r="A65" s="583">
        <f>'Unit Data from Audit Worksheet'!A72</f>
        <v>9</v>
      </c>
      <c r="B65" s="118" t="str">
        <f>'Unit Data from Audit Worksheet'!C72</f>
        <v>General Fund-Balance Sheet</v>
      </c>
      <c r="C65" s="600"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9">
        <f>'Unit Data from Audit Worksheet'!I72</f>
        <v>0</v>
      </c>
      <c r="I65" s="38"/>
      <c r="J65" s="121">
        <v>9</v>
      </c>
      <c r="K65" s="51" t="s">
        <v>204</v>
      </c>
      <c r="L65" s="596">
        <f t="shared" si="7"/>
        <v>0</v>
      </c>
      <c r="O65" s="593" t="e">
        <f>'Unit Data from Audit Worksheet'!E72</f>
        <v>#N/A</v>
      </c>
      <c r="P65" s="318"/>
      <c r="Q65" s="575">
        <f>IF(G65&lt;&gt;0,1,0)</f>
        <v>0</v>
      </c>
      <c r="W65" s="3" t="b">
        <f t="shared" si="6"/>
        <v>1</v>
      </c>
      <c r="X65" s="582">
        <f t="shared" si="1"/>
        <v>0</v>
      </c>
      <c r="Y65" s="582">
        <f t="shared" si="2"/>
        <v>0</v>
      </c>
    </row>
    <row r="66" spans="1:27" s="18" customFormat="1" ht="73.5" customHeight="1" x14ac:dyDescent="0.3">
      <c r="A66" s="337">
        <f>'Unit Data from Audit Worksheet'!A73</f>
        <v>540</v>
      </c>
      <c r="B66" s="351" t="str">
        <f>'Unit Data from Audit Worksheet'!C73</f>
        <v>General Fund - Budget Actual Statement</v>
      </c>
      <c r="C66" s="336" t="str">
        <f>'Unit Data from Audit Worksheet'!D73</f>
        <v>Amount of the General Fund Balance appropriated in next year's budget. As reported on the General Fund Balance Sheet.</v>
      </c>
      <c r="D66" s="144"/>
      <c r="E66" s="357">
        <f>'Unit Data from Audit Worksheet'!F73</f>
        <v>0</v>
      </c>
      <c r="F66" s="350">
        <f t="shared" si="8"/>
        <v>0</v>
      </c>
      <c r="G66" s="352"/>
      <c r="H66" s="349">
        <f>'Unit Data from Audit Worksheet'!I73</f>
        <v>0</v>
      </c>
      <c r="I66" s="38"/>
      <c r="J66" s="348">
        <v>540</v>
      </c>
      <c r="K66" s="347" t="s">
        <v>266</v>
      </c>
      <c r="L66" s="585">
        <f t="shared" ref="L66:L123" si="9">IF(D66="",E66,D66)</f>
        <v>0</v>
      </c>
      <c r="P66" s="319"/>
      <c r="Q66" s="575"/>
      <c r="R66" s="3"/>
      <c r="W66" s="3" t="b">
        <f t="shared" si="6"/>
        <v>1</v>
      </c>
      <c r="X66" s="582">
        <f t="shared" si="1"/>
        <v>0</v>
      </c>
      <c r="Y66" s="582">
        <f t="shared" si="2"/>
        <v>0</v>
      </c>
      <c r="AA66" s="3"/>
    </row>
    <row r="67" spans="1:27" s="18" customFormat="1" ht="73.5" customHeight="1" x14ac:dyDescent="0.3">
      <c r="A67" s="601">
        <f>'Unit Data from Audit Worksheet'!A75</f>
        <v>984</v>
      </c>
      <c r="B67" s="355" t="str">
        <f>'Unit Data from Audit Worksheet'!C75</f>
        <v>General Fund - Budget Actual Statement</v>
      </c>
      <c r="C67" s="602" t="str">
        <f>'Unit Data from Audit Worksheet'!D75</f>
        <v>Amount of Ad valorem tax collected (including motor vehicle and prior years) reported on budget actual statement</v>
      </c>
      <c r="D67" s="144"/>
      <c r="E67" s="358">
        <f>'Unit Data from Audit Worksheet'!F75</f>
        <v>0</v>
      </c>
      <c r="F67" s="350"/>
      <c r="G67" s="352"/>
      <c r="H67" s="349"/>
      <c r="I67" s="38"/>
      <c r="J67" s="366">
        <v>984</v>
      </c>
      <c r="K67" s="126" t="s">
        <v>1107</v>
      </c>
      <c r="L67" s="603">
        <f t="shared" si="9"/>
        <v>0</v>
      </c>
      <c r="P67" s="319"/>
      <c r="Q67" s="575"/>
      <c r="R67" s="3"/>
      <c r="W67" s="3"/>
      <c r="X67" s="582"/>
      <c r="Y67" s="582"/>
      <c r="AA67" s="3"/>
    </row>
    <row r="68" spans="1:27" s="18" customFormat="1" ht="73.5" customHeight="1" x14ac:dyDescent="0.3">
      <c r="A68" s="601">
        <f>'Unit Data from Audit Worksheet'!A76</f>
        <v>985</v>
      </c>
      <c r="B68" s="355" t="str">
        <f>'Unit Data from Audit Worksheet'!C76</f>
        <v>General Fund - Budget Actual Statement</v>
      </c>
      <c r="C68" s="602" t="str">
        <f>'Unit Data from Audit Worksheet'!D76</f>
        <v>Amount of Ad valorem tax budgeted (including motor vehicle and prior years) reported on budget actual statement</v>
      </c>
      <c r="D68" s="144"/>
      <c r="E68" s="358">
        <f>'Unit Data from Audit Worksheet'!F76</f>
        <v>0</v>
      </c>
      <c r="F68" s="350"/>
      <c r="G68" s="352"/>
      <c r="H68" s="349"/>
      <c r="I68" s="38"/>
      <c r="J68" s="366">
        <v>985</v>
      </c>
      <c r="K68" s="126" t="s">
        <v>1108</v>
      </c>
      <c r="L68" s="603">
        <f t="shared" si="9"/>
        <v>0</v>
      </c>
      <c r="P68" s="319"/>
      <c r="Q68" s="575"/>
      <c r="R68" s="3"/>
      <c r="W68" s="3"/>
      <c r="X68" s="582"/>
      <c r="Y68" s="582"/>
      <c r="AA68" s="3"/>
    </row>
    <row r="69" spans="1:27" ht="73.5" customHeight="1" x14ac:dyDescent="0.3">
      <c r="A69" s="337">
        <f>'Unit Data from Audit Worksheet'!A77</f>
        <v>369</v>
      </c>
      <c r="B69" s="351" t="str">
        <f>'Unit Data from Audit Worksheet'!C77</f>
        <v>General Fund-Rev, Exp. Change in Fund Balance</v>
      </c>
      <c r="C69" s="336" t="str">
        <f>'Unit Data from Audit Worksheet'!D77</f>
        <v>Total Intergovernmental revenue 
Include restricted and unrestricted revenues</v>
      </c>
      <c r="D69" s="144"/>
      <c r="E69" s="357">
        <f>'Unit Data from Audit Worksheet'!F77</f>
        <v>0</v>
      </c>
      <c r="F69" s="350"/>
      <c r="G69" s="352"/>
      <c r="H69" s="349">
        <f>'Unit Data from Audit Worksheet'!I77</f>
        <v>0</v>
      </c>
      <c r="I69" s="38"/>
      <c r="J69" s="348">
        <v>369</v>
      </c>
      <c r="K69" s="347" t="s">
        <v>205</v>
      </c>
      <c r="L69" s="585">
        <f t="shared" si="9"/>
        <v>0</v>
      </c>
      <c r="P69" s="319"/>
      <c r="W69" s="3" t="b">
        <f t="shared" ref="W69:W132" si="10">EXACT(A69,J69)</f>
        <v>1</v>
      </c>
      <c r="X69" s="582">
        <f t="shared" si="1"/>
        <v>0</v>
      </c>
      <c r="Y69" s="582">
        <f t="shared" si="2"/>
        <v>0</v>
      </c>
    </row>
    <row r="70" spans="1:27" ht="73.5" customHeight="1" x14ac:dyDescent="0.3">
      <c r="A70" s="337">
        <f>'Unit Data from Audit Worksheet'!A78</f>
        <v>16</v>
      </c>
      <c r="B70" s="351" t="str">
        <f>'Unit Data from Audit Worksheet'!C78</f>
        <v>General Fund-Rev, Exp. Change in Fund Balance</v>
      </c>
      <c r="C70" s="336" t="str">
        <f>'Unit Data from Audit Worksheet'!D78</f>
        <v>Total revenues</v>
      </c>
      <c r="D70" s="144"/>
      <c r="E70" s="357">
        <f>'Unit Data from Audit Worksheet'!F78</f>
        <v>0</v>
      </c>
      <c r="F70" s="350"/>
      <c r="G70" s="352"/>
      <c r="H70" s="349">
        <f>'Unit Data from Audit Worksheet'!I78</f>
        <v>0</v>
      </c>
      <c r="I70" s="38"/>
      <c r="J70" s="348">
        <v>16</v>
      </c>
      <c r="K70" s="347" t="s">
        <v>206</v>
      </c>
      <c r="L70" s="585">
        <f t="shared" si="9"/>
        <v>0</v>
      </c>
      <c r="P70" s="319"/>
      <c r="W70" s="3" t="b">
        <f t="shared" si="10"/>
        <v>1</v>
      </c>
      <c r="X70" s="582">
        <f t="shared" si="1"/>
        <v>0</v>
      </c>
      <c r="Y70" s="582">
        <f t="shared" si="2"/>
        <v>0</v>
      </c>
    </row>
    <row r="71" spans="1:27" ht="73.5" customHeight="1" x14ac:dyDescent="0.3">
      <c r="A71" s="337">
        <f>'Unit Data from Audit Worksheet'!A79</f>
        <v>370</v>
      </c>
      <c r="B71" s="351" t="str">
        <f>'Unit Data from Audit Worksheet'!C79</f>
        <v>General Fund-Rev, Exp. Change in Fund Balance</v>
      </c>
      <c r="C71" s="336" t="str">
        <f>'Unit Data from Audit Worksheet'!D79</f>
        <v>Debt service expenditures. 
Include principal, interest paid, and bond/debt issuance costs on long-term debt</v>
      </c>
      <c r="D71" s="144"/>
      <c r="E71" s="357">
        <f>'Unit Data from Audit Worksheet'!F79</f>
        <v>0</v>
      </c>
      <c r="F71" s="350">
        <f t="shared" ref="F71:F77" si="11">IF(L71&lt;0,"Error: Enter as a positive.",)</f>
        <v>0</v>
      </c>
      <c r="G71" s="352"/>
      <c r="H71" s="349">
        <f>'Unit Data from Audit Worksheet'!I79</f>
        <v>0</v>
      </c>
      <c r="I71" s="38"/>
      <c r="J71" s="348">
        <v>370</v>
      </c>
      <c r="K71" s="347" t="s">
        <v>207</v>
      </c>
      <c r="L71" s="585">
        <f t="shared" si="9"/>
        <v>0</v>
      </c>
      <c r="P71" s="319"/>
      <c r="W71" s="3" t="b">
        <f t="shared" si="10"/>
        <v>1</v>
      </c>
      <c r="X71" s="582">
        <f t="shared" si="1"/>
        <v>0</v>
      </c>
      <c r="Y71" s="582">
        <f t="shared" si="2"/>
        <v>0</v>
      </c>
    </row>
    <row r="72" spans="1:27" ht="73.5" customHeight="1" x14ac:dyDescent="0.3">
      <c r="A72" s="337">
        <f>'Unit Data from Audit Worksheet'!A80</f>
        <v>532</v>
      </c>
      <c r="B72" s="351" t="str">
        <f>'Unit Data from Audit Worksheet'!C80</f>
        <v>General Fund-Rev, Exp. Change in Fund Balance</v>
      </c>
      <c r="C72" s="336" t="str">
        <f>'Unit Data from Audit Worksheet'!D80</f>
        <v xml:space="preserve">Total expenditures  
Exclude expenditures in the "other financing sources (uses)" section.
</v>
      </c>
      <c r="D72" s="144"/>
      <c r="E72" s="357">
        <f>'Unit Data from Audit Worksheet'!F80</f>
        <v>0</v>
      </c>
      <c r="F72" s="350">
        <f t="shared" si="11"/>
        <v>0</v>
      </c>
      <c r="G72" s="352"/>
      <c r="H72" s="349">
        <f>'Unit Data from Audit Worksheet'!I80</f>
        <v>0</v>
      </c>
      <c r="I72" s="38"/>
      <c r="J72" s="348">
        <v>532</v>
      </c>
      <c r="K72" s="604" t="s">
        <v>208</v>
      </c>
      <c r="L72" s="585">
        <f t="shared" si="9"/>
        <v>0</v>
      </c>
      <c r="P72" s="319"/>
      <c r="W72" s="3" t="b">
        <f t="shared" si="10"/>
        <v>1</v>
      </c>
      <c r="X72" s="582">
        <f t="shared" si="1"/>
        <v>0</v>
      </c>
      <c r="Y72" s="582">
        <f t="shared" si="2"/>
        <v>0</v>
      </c>
    </row>
    <row r="73" spans="1:27" ht="73.5" customHeight="1" x14ac:dyDescent="0.3">
      <c r="A73" s="337">
        <f>'Unit Data from Audit Worksheet'!A81</f>
        <v>17</v>
      </c>
      <c r="B73" s="351" t="str">
        <f>'Unit Data from Audit Worksheet'!C81</f>
        <v>General Fund-Rev, Exp. Change in Fund Balance</v>
      </c>
      <c r="C73" s="336" t="str">
        <f>'Unit Data from Audit Worksheet'!D81</f>
        <v>Total Transfers in    (Preference is that transfers-in  are not netted against transfers-out)</v>
      </c>
      <c r="D73" s="144"/>
      <c r="E73" s="357">
        <f>'Unit Data from Audit Worksheet'!F81</f>
        <v>0</v>
      </c>
      <c r="F73" s="350">
        <f t="shared" si="11"/>
        <v>0</v>
      </c>
      <c r="G73" s="352"/>
      <c r="H73" s="349">
        <f>'Unit Data from Audit Worksheet'!I81</f>
        <v>0</v>
      </c>
      <c r="I73" s="38"/>
      <c r="J73" s="348">
        <v>17</v>
      </c>
      <c r="K73" s="347" t="s">
        <v>209</v>
      </c>
      <c r="L73" s="585">
        <f t="shared" si="9"/>
        <v>0</v>
      </c>
      <c r="P73" s="319"/>
      <c r="W73" s="3" t="b">
        <f t="shared" si="10"/>
        <v>1</v>
      </c>
      <c r="X73" s="582">
        <f t="shared" si="1"/>
        <v>0</v>
      </c>
      <c r="Y73" s="582">
        <f t="shared" si="2"/>
        <v>0</v>
      </c>
    </row>
    <row r="74" spans="1:27" ht="54.75" customHeight="1" x14ac:dyDescent="0.3">
      <c r="A74" s="337">
        <f>'Unit Data from Audit Worksheet'!A82</f>
        <v>20</v>
      </c>
      <c r="B74" s="351" t="str">
        <f>'Unit Data from Audit Worksheet'!C82</f>
        <v>General Fund-Rev, Exp. Change in Fund Balance</v>
      </c>
      <c r="C74" s="336" t="str">
        <f>'Unit Data from Audit Worksheet'!D82</f>
        <v>Total Transfers out    (Preference is that transfers-in  are not netted against transfers-out)</v>
      </c>
      <c r="D74" s="144"/>
      <c r="E74" s="357">
        <f>'Unit Data from Audit Worksheet'!F82</f>
        <v>0</v>
      </c>
      <c r="F74" s="350">
        <f t="shared" si="11"/>
        <v>0</v>
      </c>
      <c r="G74" s="352"/>
      <c r="H74" s="349">
        <f>'Unit Data from Audit Worksheet'!I82</f>
        <v>0</v>
      </c>
      <c r="I74" s="38"/>
      <c r="J74" s="348">
        <v>20</v>
      </c>
      <c r="K74" s="347" t="s">
        <v>210</v>
      </c>
      <c r="L74" s="585">
        <f t="shared" si="9"/>
        <v>0</v>
      </c>
      <c r="P74" s="319"/>
      <c r="W74" s="3" t="b">
        <f t="shared" si="10"/>
        <v>1</v>
      </c>
      <c r="X74" s="582">
        <f t="shared" si="1"/>
        <v>0</v>
      </c>
      <c r="Y74" s="582">
        <f t="shared" si="2"/>
        <v>0</v>
      </c>
    </row>
    <row r="75" spans="1:27" ht="54.75" customHeight="1" x14ac:dyDescent="0.3">
      <c r="A75" s="337">
        <f>'Unit Data from Audit Worksheet'!A83</f>
        <v>533</v>
      </c>
      <c r="B75" s="351" t="str">
        <f>'Unit Data from Audit Worksheet'!C83</f>
        <v>General Fund-Rev, Exp. Change in Fund Balance</v>
      </c>
      <c r="C75" s="336" t="str">
        <f>'Unit Data from Audit Worksheet'!D83</f>
        <v>Total Proceeds from all long-term debt issuances 
Exclude proceeds from refundings</v>
      </c>
      <c r="D75" s="144"/>
      <c r="E75" s="357">
        <f>'Unit Data from Audit Worksheet'!F83</f>
        <v>0</v>
      </c>
      <c r="F75" s="350">
        <f t="shared" si="11"/>
        <v>0</v>
      </c>
      <c r="G75" s="352"/>
      <c r="H75" s="349">
        <f>'Unit Data from Audit Worksheet'!I83</f>
        <v>0</v>
      </c>
      <c r="I75" s="38"/>
      <c r="J75" s="348">
        <v>533</v>
      </c>
      <c r="K75" s="604" t="s">
        <v>211</v>
      </c>
      <c r="L75" s="585">
        <f t="shared" si="9"/>
        <v>0</v>
      </c>
      <c r="P75" s="319"/>
      <c r="W75" s="3" t="b">
        <f t="shared" si="10"/>
        <v>1</v>
      </c>
      <c r="X75" s="582">
        <f t="shared" si="1"/>
        <v>0</v>
      </c>
      <c r="Y75" s="582">
        <f t="shared" si="2"/>
        <v>0</v>
      </c>
    </row>
    <row r="76" spans="1:27" ht="54.75" customHeight="1" x14ac:dyDescent="0.3">
      <c r="A76" s="337">
        <f>'Unit Data from Audit Worksheet'!A84</f>
        <v>508</v>
      </c>
      <c r="B76" s="351" t="str">
        <f>'Unit Data from Audit Worksheet'!C84</f>
        <v>General Fund-Rev, Exp. Change in Fund Balance</v>
      </c>
      <c r="C76" s="336" t="str">
        <f>'Unit Data from Audit Worksheet'!D84</f>
        <v>Debt Refunding - Net refunding proceeds against debt payoff and if positive place results on this line.</v>
      </c>
      <c r="D76" s="144"/>
      <c r="E76" s="357">
        <f>'Unit Data from Audit Worksheet'!F84</f>
        <v>0</v>
      </c>
      <c r="F76" s="350">
        <f t="shared" si="11"/>
        <v>0</v>
      </c>
      <c r="G76" s="352"/>
      <c r="H76" s="349">
        <f>'Unit Data from Audit Worksheet'!I84</f>
        <v>0</v>
      </c>
      <c r="I76" s="38"/>
      <c r="J76" s="348">
        <v>508</v>
      </c>
      <c r="K76" s="347" t="s">
        <v>213</v>
      </c>
      <c r="L76" s="585">
        <f t="shared" si="9"/>
        <v>0</v>
      </c>
      <c r="P76" s="319"/>
      <c r="W76" s="3" t="b">
        <f t="shared" si="10"/>
        <v>1</v>
      </c>
      <c r="X76" s="582">
        <f t="shared" si="1"/>
        <v>0</v>
      </c>
      <c r="Y76" s="582">
        <f t="shared" si="2"/>
        <v>0</v>
      </c>
    </row>
    <row r="77" spans="1:27" ht="54.75" customHeight="1" x14ac:dyDescent="0.3">
      <c r="A77" s="337">
        <f>'Unit Data from Audit Worksheet'!A85</f>
        <v>509</v>
      </c>
      <c r="B77" s="351" t="str">
        <f>'Unit Data from Audit Worksheet'!C85</f>
        <v>General Fund-Rev, Exp. Change in Fund Balance</v>
      </c>
      <c r="C77" s="336" t="str">
        <f>'Unit Data from Audit Worksheet'!D85</f>
        <v>Debt Refunding - Net refunding proceeds against debt payoff and if negative place results on this line.</v>
      </c>
      <c r="D77" s="144"/>
      <c r="E77" s="357">
        <f>'Unit Data from Audit Worksheet'!F85</f>
        <v>0</v>
      </c>
      <c r="F77" s="350">
        <f t="shared" si="11"/>
        <v>0</v>
      </c>
      <c r="G77" s="352"/>
      <c r="H77" s="349">
        <f>'Unit Data from Audit Worksheet'!I85</f>
        <v>0</v>
      </c>
      <c r="I77" s="38"/>
      <c r="J77" s="348">
        <v>509</v>
      </c>
      <c r="K77" s="347" t="s">
        <v>214</v>
      </c>
      <c r="L77" s="585">
        <f t="shared" si="9"/>
        <v>0</v>
      </c>
      <c r="P77" s="319"/>
      <c r="W77" s="3" t="b">
        <f t="shared" si="10"/>
        <v>1</v>
      </c>
      <c r="X77" s="582">
        <f t="shared" si="1"/>
        <v>0</v>
      </c>
      <c r="Y77" s="582">
        <f t="shared" si="2"/>
        <v>0</v>
      </c>
    </row>
    <row r="78" spans="1:27" ht="84.75" customHeight="1" x14ac:dyDescent="0.3">
      <c r="A78" s="337">
        <f>'Unit Data from Audit Worksheet'!A86</f>
        <v>22</v>
      </c>
      <c r="B78" s="351" t="str">
        <f>'Unit Data from Audit Worksheet'!C86</f>
        <v>General Fund-Rev, Exp. Change in Fund Balance</v>
      </c>
      <c r="C78" s="336" t="str">
        <f>'Unit Data from Audit Worksheet'!D86</f>
        <v xml:space="preserve">All other items on this statement that were not included in total revenues, total expenditures, transfers in or out, or proceeds from long-term debt above.  </v>
      </c>
      <c r="D78" s="144"/>
      <c r="E78" s="357">
        <f>'Unit Data from Audit Worksheet'!F86</f>
        <v>0</v>
      </c>
      <c r="F78" s="350"/>
      <c r="G78" s="352"/>
      <c r="H78" s="349">
        <f>'Unit Data from Audit Worksheet'!I86</f>
        <v>0</v>
      </c>
      <c r="I78" s="38"/>
      <c r="J78" s="348">
        <v>22</v>
      </c>
      <c r="K78" s="347" t="s">
        <v>212</v>
      </c>
      <c r="L78" s="585">
        <f t="shared" si="9"/>
        <v>0</v>
      </c>
      <c r="P78" s="319"/>
      <c r="W78" s="3" t="b">
        <f t="shared" si="10"/>
        <v>1</v>
      </c>
      <c r="X78" s="582">
        <f t="shared" si="1"/>
        <v>0</v>
      </c>
      <c r="Y78" s="582">
        <f t="shared" si="2"/>
        <v>0</v>
      </c>
    </row>
    <row r="79" spans="1:27" ht="74.25" customHeight="1" x14ac:dyDescent="0.3">
      <c r="A79" s="337">
        <f>'Unit Data from Audit Worksheet'!A87</f>
        <v>23</v>
      </c>
      <c r="B79" s="351" t="str">
        <f>'Unit Data from Audit Worksheet'!C87</f>
        <v>General Fund-Rev, Exp. Change in Fund Balance</v>
      </c>
      <c r="C79" s="336" t="str">
        <f>'Unit Data from Audit Worksheet'!D87</f>
        <v>Change in fund balance - (Increase in Fund balance is recorded as a positive and a decrease in fund balance is recorded as a negative)</v>
      </c>
      <c r="D79" s="144"/>
      <c r="E79" s="357">
        <f>'Unit Data from Audit Worksheet'!F87</f>
        <v>0</v>
      </c>
      <c r="F79" s="350">
        <f>IF(+L70-L72+L73-L74+L75+L76-L77+L78-L79=0,,"Error:Total revenues less toal Expenditures do not equal change in fund balance")</f>
        <v>0</v>
      </c>
      <c r="G79" s="91">
        <f>+L70-L72+L73-L74+L75+L78+L76-L77-L79</f>
        <v>0</v>
      </c>
      <c r="H79" s="349">
        <f>'Unit Data from Audit Worksheet'!I87</f>
        <v>0</v>
      </c>
      <c r="I79" s="38"/>
      <c r="J79" s="348">
        <v>23</v>
      </c>
      <c r="K79" s="347" t="s">
        <v>215</v>
      </c>
      <c r="L79" s="585">
        <f t="shared" si="9"/>
        <v>0</v>
      </c>
      <c r="P79" s="319"/>
      <c r="Q79" s="575">
        <f>IF(G79&lt;&gt;0,1,0)</f>
        <v>0</v>
      </c>
      <c r="W79" s="3" t="b">
        <f t="shared" si="10"/>
        <v>1</v>
      </c>
      <c r="X79" s="582">
        <f t="shared" si="1"/>
        <v>0</v>
      </c>
      <c r="Y79" s="582">
        <f t="shared" si="2"/>
        <v>0</v>
      </c>
    </row>
    <row r="80" spans="1:27" ht="123" customHeight="1" x14ac:dyDescent="0.3">
      <c r="A80" s="597">
        <f>'Unit Data from Audit Worksheet'!A89</f>
        <v>507</v>
      </c>
      <c r="B80" s="117" t="str">
        <f>'Unit Data from Audit Worksheet'!C89</f>
        <v>General Fund-Rev, Exp. Change in Fund Balance</v>
      </c>
      <c r="C80" s="329"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85">
        <f t="shared" si="9"/>
        <v>0</v>
      </c>
      <c r="N80" s="594"/>
      <c r="O80" s="593"/>
      <c r="P80" s="320"/>
      <c r="Q80" s="575" t="e">
        <f>IF(G80&lt;&gt;0,1,0)</f>
        <v>#N/A</v>
      </c>
      <c r="W80" s="3" t="b">
        <f t="shared" si="10"/>
        <v>1</v>
      </c>
      <c r="X80" s="582">
        <f t="shared" si="1"/>
        <v>0</v>
      </c>
      <c r="Y80" s="582">
        <f t="shared" si="2"/>
        <v>0</v>
      </c>
    </row>
    <row r="81" spans="1:26" ht="123" customHeight="1" x14ac:dyDescent="0.3">
      <c r="A81" s="597">
        <f>'Unit Data from Audit Worksheet'!A90</f>
        <v>147</v>
      </c>
      <c r="B81" s="117" t="str">
        <f>'Unit Data from Audit Worksheet'!C90</f>
        <v>General Fund-Rev, Exp. Change in Fund Balance or General Fund Budget Actual</v>
      </c>
      <c r="C81" s="329"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0"/>
      <c r="E81" s="155">
        <f>'Unit Data from Audit Worksheet'!F90</f>
        <v>0</v>
      </c>
      <c r="F81" s="353"/>
      <c r="G81" s="361"/>
      <c r="H81" s="353"/>
      <c r="I81" s="38"/>
      <c r="J81" s="362">
        <v>147</v>
      </c>
      <c r="K81" s="354" t="s">
        <v>371</v>
      </c>
      <c r="L81" s="585">
        <f t="shared" si="9"/>
        <v>0</v>
      </c>
      <c r="N81" s="594"/>
      <c r="O81" s="593"/>
      <c r="P81" s="328"/>
      <c r="W81" s="3" t="b">
        <f t="shared" si="10"/>
        <v>1</v>
      </c>
      <c r="X81" s="582"/>
      <c r="Y81" s="582"/>
    </row>
    <row r="82" spans="1:26" ht="123" customHeight="1" x14ac:dyDescent="0.3">
      <c r="A82" s="597">
        <f>'Unit Data from Audit Worksheet'!A91</f>
        <v>585</v>
      </c>
      <c r="B82" s="117" t="str">
        <f>'Unit Data from Audit Worksheet'!C91</f>
        <v>General Fund-Rev, Exp. Change in Fund Balance or General Fund Budget Actual</v>
      </c>
      <c r="C82" s="587" t="str">
        <f>'Unit Data from Audit Worksheet'!D91</f>
        <v xml:space="preserve">How much of the above number in account 147 is from Timber Receipts sent to the schools </v>
      </c>
      <c r="D82" s="360"/>
      <c r="E82" s="155">
        <f>'Unit Data from Audit Worksheet'!F91</f>
        <v>0</v>
      </c>
      <c r="F82" s="353"/>
      <c r="G82" s="361"/>
      <c r="H82" s="353"/>
      <c r="I82" s="38"/>
      <c r="J82" s="362">
        <v>585</v>
      </c>
      <c r="K82" s="365" t="s">
        <v>660</v>
      </c>
      <c r="L82" s="585">
        <f t="shared" si="9"/>
        <v>0</v>
      </c>
      <c r="N82" s="594"/>
      <c r="O82" s="593"/>
      <c r="P82" s="328"/>
      <c r="W82" s="3" t="b">
        <f t="shared" si="10"/>
        <v>1</v>
      </c>
      <c r="X82" s="582"/>
      <c r="Y82" s="582"/>
    </row>
    <row r="83" spans="1:26" ht="123" customHeight="1" x14ac:dyDescent="0.3">
      <c r="A83" s="597">
        <f>'Unit Data from Audit Worksheet'!A92</f>
        <v>546</v>
      </c>
      <c r="B83" s="117" t="str">
        <f>'Unit Data from Audit Worksheet'!C92</f>
        <v>General Fund-Rev, Exp. Change in Fund Balance or General Fund Budget Actual</v>
      </c>
      <c r="C83" s="587" t="str">
        <f>'Unit Data from Audit Worksheet'!D92</f>
        <v>Amount of Supplemental School Tax revenue recorded in the governmental funds.</v>
      </c>
      <c r="D83" s="360"/>
      <c r="E83" s="155">
        <f>'Unit Data from Audit Worksheet'!F92</f>
        <v>0</v>
      </c>
      <c r="F83" s="353"/>
      <c r="G83" s="361"/>
      <c r="H83" s="353"/>
      <c r="I83" s="38"/>
      <c r="J83" s="362">
        <v>546</v>
      </c>
      <c r="K83" s="365" t="s">
        <v>842</v>
      </c>
      <c r="L83" s="585">
        <f t="shared" si="9"/>
        <v>0</v>
      </c>
      <c r="N83" s="594"/>
      <c r="O83" s="593"/>
      <c r="P83" s="328"/>
      <c r="W83" s="3" t="b">
        <f t="shared" si="10"/>
        <v>1</v>
      </c>
      <c r="X83" s="582"/>
      <c r="Y83" s="582"/>
    </row>
    <row r="84" spans="1:26" ht="123" customHeight="1" x14ac:dyDescent="0.3">
      <c r="A84" s="597">
        <f>'Unit Data from Audit Worksheet'!A93</f>
        <v>589</v>
      </c>
      <c r="B84" s="117" t="str">
        <f>'Unit Data from Audit Worksheet'!C93</f>
        <v>General Fund-Rev, Exp. Change in Fund Balance or General Fund Budget Actual</v>
      </c>
      <c r="C84" s="587" t="str">
        <f>'Unit Data from Audit Worksheet'!D93</f>
        <v>Amount of Supplemental School Tax revenue recorded in agency funds.</v>
      </c>
      <c r="D84" s="360"/>
      <c r="E84" s="155">
        <f>'Unit Data from Audit Worksheet'!F93</f>
        <v>0</v>
      </c>
      <c r="F84" s="353"/>
      <c r="G84" s="361"/>
      <c r="H84" s="353"/>
      <c r="I84" s="38"/>
      <c r="J84" s="362">
        <v>589</v>
      </c>
      <c r="K84" s="124" t="s">
        <v>1276</v>
      </c>
      <c r="L84" s="585">
        <f t="shared" si="9"/>
        <v>0</v>
      </c>
      <c r="N84" s="594"/>
      <c r="O84" s="593"/>
      <c r="P84" s="328"/>
      <c r="W84" s="3" t="b">
        <f t="shared" si="10"/>
        <v>1</v>
      </c>
      <c r="X84" s="582"/>
      <c r="Y84" s="582"/>
    </row>
    <row r="85" spans="1:26" ht="123" customHeight="1" x14ac:dyDescent="0.3">
      <c r="A85" s="597">
        <f>'Unit Data from Audit Worksheet'!A94</f>
        <v>149</v>
      </c>
      <c r="B85" s="117" t="str">
        <f>'Unit Data from Audit Worksheet'!C94</f>
        <v>General Fund-Rev, Exp. Change in Fund Balance or General Fund Budget Actual</v>
      </c>
      <c r="C85" s="587"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0"/>
      <c r="E85" s="155">
        <f>'Unit Data from Audit Worksheet'!F94</f>
        <v>0</v>
      </c>
      <c r="F85" s="353"/>
      <c r="G85" s="361"/>
      <c r="H85" s="353"/>
      <c r="I85" s="38"/>
      <c r="J85" s="362">
        <v>149</v>
      </c>
      <c r="K85" s="254" t="s">
        <v>375</v>
      </c>
      <c r="L85" s="585">
        <f t="shared" si="9"/>
        <v>0</v>
      </c>
      <c r="N85" s="594"/>
      <c r="O85" s="593"/>
      <c r="P85" s="328"/>
      <c r="W85" s="3" t="b">
        <f t="shared" si="10"/>
        <v>1</v>
      </c>
      <c r="X85" s="582"/>
      <c r="Y85" s="582"/>
      <c r="Z85" s="3" t="s">
        <v>1353</v>
      </c>
    </row>
    <row r="86" spans="1:26" ht="123" customHeight="1" x14ac:dyDescent="0.3">
      <c r="A86" s="597">
        <f>'Unit Data from Audit Worksheet'!A95</f>
        <v>150</v>
      </c>
      <c r="B86" s="117" t="str">
        <f>'Unit Data from Audit Worksheet'!C95</f>
        <v>General Fund-Rev, Exp. Change in Fund Balance or General Fund Budget Actual</v>
      </c>
      <c r="C86" s="587"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0"/>
      <c r="E86" s="155">
        <f>'Unit Data from Audit Worksheet'!F95</f>
        <v>0</v>
      </c>
      <c r="F86" s="353"/>
      <c r="G86" s="361"/>
      <c r="H86" s="353"/>
      <c r="I86" s="38"/>
      <c r="J86" s="362">
        <v>150</v>
      </c>
      <c r="K86" s="254" t="s">
        <v>842</v>
      </c>
      <c r="L86" s="585">
        <f t="shared" si="9"/>
        <v>0</v>
      </c>
      <c r="N86" s="594"/>
      <c r="O86" s="593"/>
      <c r="P86" s="328"/>
      <c r="W86" s="3" t="b">
        <f t="shared" si="10"/>
        <v>1</v>
      </c>
      <c r="X86" s="582"/>
      <c r="Y86" s="582"/>
      <c r="Z86" s="3" t="s">
        <v>1353</v>
      </c>
    </row>
    <row r="87" spans="1:26" ht="123" customHeight="1" x14ac:dyDescent="0.3">
      <c r="A87" s="597">
        <f>'Unit Data from Audit Worksheet'!A96</f>
        <v>587</v>
      </c>
      <c r="B87" s="117" t="str">
        <f>'Unit Data from Audit Worksheet'!C96</f>
        <v xml:space="preserve">Fund 8 Rev, Exp. Change in Fund Balance Rpt. </v>
      </c>
      <c r="C87" s="587" t="str">
        <f>'Unit Data from Audit Worksheet'!D96</f>
        <v>Amount of Local Current Expense Funds received from the County transferred to Fund 8 this year.</v>
      </c>
      <c r="D87" s="360"/>
      <c r="E87" s="155">
        <f>'Unit Data from Audit Worksheet'!F96</f>
        <v>0</v>
      </c>
      <c r="F87" s="353"/>
      <c r="G87" s="361"/>
      <c r="H87" s="353"/>
      <c r="I87" s="38"/>
      <c r="J87" s="362">
        <v>587</v>
      </c>
      <c r="K87" s="254" t="s">
        <v>664</v>
      </c>
      <c r="L87" s="585">
        <f t="shared" si="9"/>
        <v>0</v>
      </c>
      <c r="N87" s="594"/>
      <c r="O87" s="593"/>
      <c r="P87" s="328"/>
      <c r="W87" s="3" t="b">
        <f t="shared" si="10"/>
        <v>1</v>
      </c>
      <c r="X87" s="582"/>
      <c r="Y87" s="582"/>
      <c r="Z87" s="3" t="s">
        <v>1353</v>
      </c>
    </row>
    <row r="88" spans="1:26" ht="123" customHeight="1" x14ac:dyDescent="0.3">
      <c r="A88" s="597">
        <f>'Unit Data from Audit Worksheet'!A97</f>
        <v>588</v>
      </c>
      <c r="B88" s="117" t="str">
        <f>'Unit Data from Audit Worksheet'!C97</f>
        <v xml:space="preserve">Fund 8 Rev, Exp. Change in Fund Balance Rpt. </v>
      </c>
      <c r="C88" s="587" t="str">
        <f>'Unit Data from Audit Worksheet'!D97</f>
        <v>Amount of Capital Outlay Funds received from the County transferred to Fund 8 this year.</v>
      </c>
      <c r="D88" s="360"/>
      <c r="E88" s="155">
        <f>'Unit Data from Audit Worksheet'!F97</f>
        <v>0</v>
      </c>
      <c r="F88" s="353"/>
      <c r="G88" s="361"/>
      <c r="H88" s="353"/>
      <c r="I88" s="38"/>
      <c r="J88" s="362">
        <v>588</v>
      </c>
      <c r="K88" s="254" t="s">
        <v>666</v>
      </c>
      <c r="L88" s="585">
        <f t="shared" si="9"/>
        <v>0</v>
      </c>
      <c r="N88" s="594"/>
      <c r="O88" s="593"/>
      <c r="P88" s="328"/>
      <c r="W88" s="3" t="b">
        <f t="shared" si="10"/>
        <v>1</v>
      </c>
      <c r="X88" s="582"/>
      <c r="Y88" s="582"/>
      <c r="Z88" s="3" t="s">
        <v>1353</v>
      </c>
    </row>
    <row r="89" spans="1:26" s="18" customFormat="1" ht="40.5" customHeight="1" x14ac:dyDescent="0.3">
      <c r="A89" s="308">
        <f>'Unit Data from Audit Worksheet'!A98</f>
        <v>647</v>
      </c>
      <c r="B89" s="364" t="str">
        <f>'Unit Data from Audit Worksheet'!C98</f>
        <v>Debt Service Fund</v>
      </c>
      <c r="C89" s="308" t="str">
        <f>'Unit Data from Audit Worksheet'!D98</f>
        <v>Please enter the Total Fund Balance for any Debt Service Funds</v>
      </c>
      <c r="D89" s="116"/>
      <c r="E89" s="363">
        <f>'Unit Data from Audit Worksheet'!F98</f>
        <v>0</v>
      </c>
      <c r="F89" s="345"/>
      <c r="G89" s="340"/>
      <c r="H89" s="345">
        <f>'Unit Data from Audit Worksheet'!I98</f>
        <v>0</v>
      </c>
      <c r="I89" s="598"/>
      <c r="J89" s="344">
        <v>647</v>
      </c>
      <c r="K89" s="311" t="s">
        <v>1565</v>
      </c>
      <c r="L89" s="599">
        <f>IF(D89="",E89,D89)</f>
        <v>0</v>
      </c>
      <c r="M89" s="589"/>
      <c r="N89" s="589"/>
      <c r="O89" s="605"/>
      <c r="P89" s="321"/>
      <c r="Q89" s="590"/>
      <c r="R89" s="3"/>
      <c r="S89" s="589"/>
      <c r="T89" s="589"/>
      <c r="U89" s="589"/>
      <c r="V89" s="589"/>
      <c r="W89" s="18" t="b">
        <f t="shared" si="10"/>
        <v>1</v>
      </c>
      <c r="X89" s="591">
        <f t="shared" si="1"/>
        <v>0</v>
      </c>
      <c r="Y89" s="591">
        <f t="shared" si="2"/>
        <v>0</v>
      </c>
    </row>
    <row r="90" spans="1:26" s="18" customFormat="1" ht="66" customHeight="1" x14ac:dyDescent="0.3">
      <c r="A90" s="308">
        <f>'Unit Data from Audit Worksheet'!A100</f>
        <v>148</v>
      </c>
      <c r="B90" s="364" t="str">
        <f>'Unit Data from Audit Worksheet'!C100</f>
        <v>All Gov. Funds Rev, Exp. Change in Fund Balance</v>
      </c>
      <c r="C90" s="343" t="str">
        <f>'Unit Data from Audit Worksheet'!D100</f>
        <v>Capital Outlay contributions to the BOEs (include amounts from general fund, capital project funds and any other fund sent to the BOE as part of capital outlay)</v>
      </c>
      <c r="D90" s="360"/>
      <c r="E90" s="363">
        <f>'Unit Data from Audit Worksheet'!F100</f>
        <v>0</v>
      </c>
      <c r="F90" s="353"/>
      <c r="G90" s="361"/>
      <c r="H90" s="353"/>
      <c r="I90" s="38"/>
      <c r="J90" s="362">
        <v>148</v>
      </c>
      <c r="K90" s="354" t="s">
        <v>373</v>
      </c>
      <c r="L90" s="585">
        <f t="shared" si="9"/>
        <v>0</v>
      </c>
      <c r="M90" s="606"/>
      <c r="N90" s="606"/>
      <c r="O90" s="607"/>
      <c r="P90" s="328"/>
      <c r="Q90" s="608"/>
      <c r="R90" s="3"/>
      <c r="S90" s="606"/>
      <c r="T90" s="606"/>
      <c r="U90" s="606"/>
      <c r="V90" s="606"/>
      <c r="W90" s="606" t="b">
        <f t="shared" si="10"/>
        <v>1</v>
      </c>
      <c r="X90" s="591"/>
      <c r="Y90" s="591"/>
    </row>
    <row r="91" spans="1:26" ht="60" customHeight="1" x14ac:dyDescent="0.3">
      <c r="A91" s="583">
        <f>'Unit Data from Audit Worksheet'!A101</f>
        <v>171</v>
      </c>
      <c r="B91" s="54" t="str">
        <f>'Unit Data from Audit Worksheet'!C101</f>
        <v>Fund Statements - all Governmental Funds</v>
      </c>
      <c r="C91" s="584" t="str">
        <f>'Unit Data from Audit Worksheet'!D101</f>
        <v>Debt service expenditures from all governmental funds.  Include principal, interest paid, and debt issuance costs on long-term debt.</v>
      </c>
      <c r="D91" s="356"/>
      <c r="E91" s="152">
        <f>'Unit Data from Audit Worksheet'!F101</f>
        <v>0</v>
      </c>
      <c r="F91" s="47">
        <f>IF(L91&lt;0,"Error: Enter as a positive.",)</f>
        <v>0</v>
      </c>
      <c r="G91" s="72"/>
      <c r="H91" s="349">
        <f>'Unit Data from Audit Worksheet'!I101</f>
        <v>0</v>
      </c>
      <c r="I91" s="38"/>
      <c r="J91" s="42">
        <v>171</v>
      </c>
      <c r="K91" s="51" t="s">
        <v>217</v>
      </c>
      <c r="L91" s="585">
        <f t="shared" si="9"/>
        <v>0</v>
      </c>
      <c r="P91" s="318"/>
      <c r="W91" s="3" t="b">
        <f t="shared" si="10"/>
        <v>1</v>
      </c>
      <c r="X91" s="582">
        <f t="shared" si="1"/>
        <v>0</v>
      </c>
      <c r="Y91" s="582">
        <f t="shared" si="2"/>
        <v>0</v>
      </c>
    </row>
    <row r="92" spans="1:26" s="725" customFormat="1" ht="60" customHeight="1" x14ac:dyDescent="0.3">
      <c r="A92" s="583">
        <f>'Unit Data from Audit Worksheet'!A103</f>
        <v>36</v>
      </c>
      <c r="B92" s="54" t="str">
        <f>'Unit Data from Audit Worksheet'!C103</f>
        <v>Net Position</v>
      </c>
      <c r="C92" s="584" t="str">
        <f>'Unit Data from Audit Worksheet'!D103</f>
        <v>Total Gross Capital Assets - without accumulated depreciation</v>
      </c>
      <c r="D92" s="356"/>
      <c r="E92" s="152">
        <f>'Unit Data from Audit Worksheet'!F103</f>
        <v>0</v>
      </c>
      <c r="F92" s="47"/>
      <c r="G92" s="72"/>
      <c r="H92" s="349"/>
      <c r="I92" s="727"/>
      <c r="J92" s="42">
        <v>36</v>
      </c>
      <c r="K92" s="51" t="s">
        <v>1410</v>
      </c>
      <c r="L92" s="585">
        <f t="shared" si="9"/>
        <v>0</v>
      </c>
      <c r="P92" s="318"/>
      <c r="Q92" s="575"/>
      <c r="W92" s="606" t="b">
        <f t="shared" si="10"/>
        <v>1</v>
      </c>
      <c r="X92" s="582"/>
      <c r="Y92" s="582"/>
    </row>
    <row r="93" spans="1:26" s="725" customFormat="1" ht="60" customHeight="1" x14ac:dyDescent="0.3">
      <c r="A93" s="583">
        <f>'Unit Data from Audit Worksheet'!A104</f>
        <v>534</v>
      </c>
      <c r="B93" s="54" t="str">
        <f>'Unit Data from Audit Worksheet'!C104</f>
        <v>Net Position</v>
      </c>
      <c r="C93" s="584" t="str">
        <f>'Unit Data from Audit Worksheet'!D104</f>
        <v>Combined Totals of all Proprietary Funds - Amount of Inventories and Prepaids in current assets</v>
      </c>
      <c r="D93" s="356"/>
      <c r="E93" s="152">
        <f>'Unit Data from Audit Worksheet'!F104</f>
        <v>0</v>
      </c>
      <c r="F93" s="47"/>
      <c r="G93" s="72"/>
      <c r="H93" s="349"/>
      <c r="I93" s="727"/>
      <c r="J93" s="42">
        <v>534</v>
      </c>
      <c r="K93" s="51" t="s">
        <v>274</v>
      </c>
      <c r="L93" s="585">
        <f t="shared" si="9"/>
        <v>0</v>
      </c>
      <c r="P93" s="318"/>
      <c r="Q93" s="575"/>
      <c r="W93" s="606" t="b">
        <f t="shared" si="10"/>
        <v>1</v>
      </c>
      <c r="X93" s="582"/>
      <c r="Y93" s="582"/>
    </row>
    <row r="94" spans="1:26" ht="60" customHeight="1" x14ac:dyDescent="0.3">
      <c r="A94" s="583">
        <f>'Unit Data from Audit Worksheet'!A105</f>
        <v>13</v>
      </c>
      <c r="B94" s="54" t="str">
        <f>'Unit Data from Audit Worksheet'!C105</f>
        <v>Combined Proprietary Funds - Net Position</v>
      </c>
      <c r="C94" s="584" t="str">
        <f>'Unit Data from Audit Worksheet'!D105</f>
        <v>Comb-Proprietary Funds-Current Assets 
Exclude: any restricted assets
                  deferred outflows</v>
      </c>
      <c r="D94" s="356"/>
      <c r="E94" s="152">
        <f>'Unit Data from Audit Worksheet'!F105</f>
        <v>0</v>
      </c>
      <c r="F94" s="47"/>
      <c r="G94" s="72"/>
      <c r="H94" s="349"/>
      <c r="I94" s="38"/>
      <c r="J94" s="42">
        <v>13</v>
      </c>
      <c r="K94" s="51" t="s">
        <v>1343</v>
      </c>
      <c r="L94" s="585">
        <f t="shared" si="9"/>
        <v>0</v>
      </c>
      <c r="P94" s="318"/>
      <c r="X94" s="582"/>
      <c r="Y94" s="582"/>
    </row>
    <row r="95" spans="1:26" ht="60" customHeight="1" x14ac:dyDescent="0.3">
      <c r="A95" s="583">
        <f>'Unit Data from Audit Worksheet'!A106</f>
        <v>14</v>
      </c>
      <c r="B95" s="54" t="str">
        <f>'Unit Data from Audit Worksheet'!C106</f>
        <v>Combined Proprietary Funds - Net Position</v>
      </c>
      <c r="C95" s="584"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6"/>
      <c r="E95" s="152">
        <f>'Unit Data from Audit Worksheet'!F106</f>
        <v>0</v>
      </c>
      <c r="F95" s="47"/>
      <c r="G95" s="72"/>
      <c r="H95" s="349"/>
      <c r="I95" s="38"/>
      <c r="J95" s="42">
        <v>14</v>
      </c>
      <c r="K95" s="51" t="s">
        <v>1344</v>
      </c>
      <c r="L95" s="585">
        <f t="shared" si="9"/>
        <v>0</v>
      </c>
      <c r="P95" s="318"/>
      <c r="X95" s="582"/>
      <c r="Y95" s="582"/>
    </row>
    <row r="96" spans="1:26" s="725" customFormat="1" ht="60" customHeight="1" x14ac:dyDescent="0.3">
      <c r="A96" s="583">
        <f>'Unit Data from Audit Worksheet'!A107</f>
        <v>571</v>
      </c>
      <c r="B96" s="54" t="str">
        <f>'Unit Data from Audit Worksheet'!C107</f>
        <v>Statement of Net Position - combined totals from all Proprietary Funds</v>
      </c>
      <c r="C96" s="584" t="str">
        <f>'Unit Data from Audit Worksheet'!D107</f>
        <v>Mental Health Net Position - Net Investment in Capital Assets</v>
      </c>
      <c r="D96" s="356"/>
      <c r="E96" s="152">
        <f>'Unit Data from Audit Worksheet'!F107</f>
        <v>0</v>
      </c>
      <c r="F96" s="47"/>
      <c r="G96" s="72"/>
      <c r="H96" s="349"/>
      <c r="I96" s="727"/>
      <c r="J96" s="42">
        <v>571</v>
      </c>
      <c r="K96" s="51" t="s">
        <v>1381</v>
      </c>
      <c r="L96" s="585">
        <f t="shared" si="9"/>
        <v>0</v>
      </c>
      <c r="P96" s="318"/>
      <c r="Q96" s="575"/>
      <c r="X96" s="582"/>
      <c r="Y96" s="582"/>
    </row>
    <row r="97" spans="1:26" s="725" customFormat="1" ht="60" customHeight="1" x14ac:dyDescent="0.3">
      <c r="A97" s="583">
        <f>'Unit Data from Audit Worksheet'!A108</f>
        <v>572</v>
      </c>
      <c r="B97" s="54" t="str">
        <f>'Unit Data from Audit Worksheet'!C108</f>
        <v>Statement of Net Position - combined totals from all Proprietary Funds</v>
      </c>
      <c r="C97" s="584" t="str">
        <f>'Unit Data from Audit Worksheet'!D108</f>
        <v>Mental Health Net Position - Restricted Net Position</v>
      </c>
      <c r="D97" s="356"/>
      <c r="E97" s="152">
        <f>'Unit Data from Audit Worksheet'!F108</f>
        <v>0</v>
      </c>
      <c r="F97" s="47"/>
      <c r="G97" s="72"/>
      <c r="H97" s="349"/>
      <c r="I97" s="727"/>
      <c r="J97" s="42">
        <v>572</v>
      </c>
      <c r="K97" s="51" t="s">
        <v>1382</v>
      </c>
      <c r="L97" s="585">
        <f t="shared" si="9"/>
        <v>0</v>
      </c>
      <c r="P97" s="318"/>
      <c r="Q97" s="575"/>
      <c r="X97" s="582"/>
      <c r="Y97" s="582"/>
    </row>
    <row r="98" spans="1:26" s="725" customFormat="1" ht="60" customHeight="1" x14ac:dyDescent="0.3">
      <c r="A98" s="583">
        <f>'Unit Data from Audit Worksheet'!A109</f>
        <v>573</v>
      </c>
      <c r="B98" s="54" t="str">
        <f>'Unit Data from Audit Worksheet'!C109</f>
        <v>Statement of Net Position - combined totals from all Proprietary Funds</v>
      </c>
      <c r="C98" s="584" t="str">
        <f>'Unit Data from Audit Worksheet'!D109</f>
        <v>Mental Health Net Position - Unrestricted Net Position</v>
      </c>
      <c r="D98" s="356"/>
      <c r="E98" s="152">
        <f>'Unit Data from Audit Worksheet'!F109</f>
        <v>0</v>
      </c>
      <c r="F98" s="47"/>
      <c r="G98" s="72"/>
      <c r="H98" s="349"/>
      <c r="I98" s="727"/>
      <c r="J98" s="42">
        <v>573</v>
      </c>
      <c r="K98" s="51" t="s">
        <v>1540</v>
      </c>
      <c r="L98" s="585">
        <f t="shared" si="9"/>
        <v>0</v>
      </c>
      <c r="P98" s="318"/>
      <c r="Q98" s="575"/>
      <c r="X98" s="582"/>
      <c r="Y98" s="582"/>
    </row>
    <row r="99" spans="1:26" ht="60" customHeight="1" x14ac:dyDescent="0.3">
      <c r="A99" s="583">
        <f>'Unit Data from Audit Worksheet'!A110</f>
        <v>34</v>
      </c>
      <c r="B99" s="54" t="str">
        <f>'Unit Data from Audit Worksheet'!C110</f>
        <v>Net Position</v>
      </c>
      <c r="C99" s="584" t="str">
        <f>'Unit Data from Audit Worksheet'!D110</f>
        <v>Hospital-EF- Unrestricted Cash &amp; Invest. [Incl.all but Held by Trustee or 3rd party restricted](BS)</v>
      </c>
      <c r="D99" s="356"/>
      <c r="E99" s="152">
        <f>'Unit Data from Audit Worksheet'!F110</f>
        <v>0</v>
      </c>
      <c r="F99" s="47"/>
      <c r="G99" s="72"/>
      <c r="H99" s="349"/>
      <c r="I99" s="38"/>
      <c r="J99" s="42">
        <v>34</v>
      </c>
      <c r="K99" s="51" t="s">
        <v>1356</v>
      </c>
      <c r="L99" s="585">
        <f t="shared" si="9"/>
        <v>0</v>
      </c>
      <c r="P99" s="318"/>
      <c r="X99" s="582"/>
      <c r="Y99" s="582"/>
      <c r="Z99" s="3" t="s">
        <v>1354</v>
      </c>
    </row>
    <row r="100" spans="1:26" ht="60" customHeight="1" x14ac:dyDescent="0.3">
      <c r="A100" s="583">
        <f>'Unit Data from Audit Worksheet'!A111</f>
        <v>35</v>
      </c>
      <c r="B100" s="54" t="str">
        <f>'Unit Data from Audit Worksheet'!C111</f>
        <v>Net Position</v>
      </c>
      <c r="C100" s="584" t="str">
        <f>'Unit Data from Audit Worksheet'!D111</f>
        <v>Mental Health or Hospital-EF- Patient Accounts Receivable, Net of Allowance for Bad Debt</v>
      </c>
      <c r="D100" s="356"/>
      <c r="E100" s="152">
        <f>'Unit Data from Audit Worksheet'!F111</f>
        <v>0</v>
      </c>
      <c r="F100" s="47"/>
      <c r="G100" s="72"/>
      <c r="H100" s="349"/>
      <c r="I100" s="38"/>
      <c r="J100" s="42">
        <v>35</v>
      </c>
      <c r="K100" s="51" t="s">
        <v>1357</v>
      </c>
      <c r="L100" s="585">
        <f t="shared" si="9"/>
        <v>0</v>
      </c>
      <c r="P100" s="318"/>
      <c r="X100" s="582"/>
      <c r="Y100" s="582"/>
      <c r="Z100" s="3" t="s">
        <v>1354</v>
      </c>
    </row>
    <row r="101" spans="1:26" ht="60" customHeight="1" x14ac:dyDescent="0.3">
      <c r="A101" s="583">
        <f>'Unit Data from Audit Worksheet'!A112</f>
        <v>37</v>
      </c>
      <c r="B101" s="54" t="str">
        <f>'Unit Data from Audit Worksheet'!C112</f>
        <v>Net Position</v>
      </c>
      <c r="C101" s="584" t="str">
        <f>'Unit Data from Audit Worksheet'!D112</f>
        <v>Total Long-term debt (non current portion only) - enter as a positive</v>
      </c>
      <c r="D101" s="356"/>
      <c r="E101" s="152">
        <f>'Unit Data from Audit Worksheet'!F112</f>
        <v>0</v>
      </c>
      <c r="F101" s="47"/>
      <c r="G101" s="72"/>
      <c r="H101" s="349"/>
      <c r="I101" s="38"/>
      <c r="J101" s="42">
        <v>37</v>
      </c>
      <c r="K101" s="51" t="s">
        <v>1367</v>
      </c>
      <c r="L101" s="585">
        <f t="shared" si="9"/>
        <v>0</v>
      </c>
      <c r="P101" s="318"/>
      <c r="X101" s="582"/>
      <c r="Y101" s="582"/>
      <c r="Z101" s="3" t="s">
        <v>1354</v>
      </c>
    </row>
    <row r="102" spans="1:26" ht="60" customHeight="1" x14ac:dyDescent="0.3">
      <c r="A102" s="583">
        <f>'Unit Data from Audit Worksheet'!A113</f>
        <v>38</v>
      </c>
      <c r="B102" s="54" t="str">
        <f>'Unit Data from Audit Worksheet'!C113</f>
        <v>Net Position</v>
      </c>
      <c r="C102" s="584" t="str">
        <f>'Unit Data from Audit Worksheet'!D113</f>
        <v>Unrestricted fund equity or net position</v>
      </c>
      <c r="D102" s="356"/>
      <c r="E102" s="152">
        <f>'Unit Data from Audit Worksheet'!F113</f>
        <v>0</v>
      </c>
      <c r="F102" s="47"/>
      <c r="G102" s="72"/>
      <c r="H102" s="349"/>
      <c r="I102" s="38"/>
      <c r="J102" s="42">
        <v>38</v>
      </c>
      <c r="K102" s="51" t="s">
        <v>1358</v>
      </c>
      <c r="L102" s="585">
        <f t="shared" si="9"/>
        <v>0</v>
      </c>
      <c r="P102" s="318"/>
      <c r="X102" s="582"/>
      <c r="Y102" s="582"/>
      <c r="Z102" s="3" t="s">
        <v>1354</v>
      </c>
    </row>
    <row r="103" spans="1:26" ht="60" customHeight="1" x14ac:dyDescent="0.3">
      <c r="A103" s="583">
        <f>'Unit Data from Audit Worksheet'!A114</f>
        <v>32</v>
      </c>
      <c r="B103" s="54" t="str">
        <f>'Unit Data from Audit Worksheet'!C114</f>
        <v>Combined Totals of all Proprietary Funds - Revenue, Expenses, Changes in Net Position</v>
      </c>
      <c r="C103" s="584" t="str">
        <f>'Unit Data from Audit Worksheet'!D114</f>
        <v>Combined Totals of all proprietary Funds - Depreciation &amp; Amortization Expense</v>
      </c>
      <c r="D103" s="356"/>
      <c r="E103" s="152">
        <f>'Unit Data from Audit Worksheet'!F114</f>
        <v>0</v>
      </c>
      <c r="F103" s="47"/>
      <c r="G103" s="72"/>
      <c r="H103" s="349"/>
      <c r="I103" s="38"/>
      <c r="J103" s="42">
        <v>32</v>
      </c>
      <c r="K103" s="51" t="s">
        <v>1346</v>
      </c>
      <c r="L103" s="585">
        <f t="shared" si="9"/>
        <v>0</v>
      </c>
      <c r="P103" s="318"/>
      <c r="X103" s="582"/>
      <c r="Y103" s="582"/>
      <c r="Z103" s="3" t="s">
        <v>1354</v>
      </c>
    </row>
    <row r="104" spans="1:26" ht="60" customHeight="1" x14ac:dyDescent="0.3">
      <c r="A104" s="583">
        <f>'Unit Data from Audit Worksheet'!A115</f>
        <v>40</v>
      </c>
      <c r="B104" s="54" t="str">
        <f>'Unit Data from Audit Worksheet'!C115</f>
        <v>Revenue, Expenses, Changes in Net Position</v>
      </c>
      <c r="C104" s="584" t="str">
        <f>'Unit Data from Audit Worksheet'!D115</f>
        <v>Net Patient Revenues</v>
      </c>
      <c r="D104" s="356"/>
      <c r="E104" s="152">
        <f>'Unit Data from Audit Worksheet'!F115</f>
        <v>0</v>
      </c>
      <c r="F104" s="47"/>
      <c r="G104" s="72"/>
      <c r="H104" s="349"/>
      <c r="I104" s="38"/>
      <c r="J104" s="42">
        <v>40</v>
      </c>
      <c r="K104" s="51" t="s">
        <v>1360</v>
      </c>
      <c r="L104" s="585">
        <f t="shared" si="9"/>
        <v>0</v>
      </c>
      <c r="P104" s="318"/>
      <c r="X104" s="582"/>
      <c r="Y104" s="582"/>
      <c r="Z104" s="3" t="s">
        <v>1354</v>
      </c>
    </row>
    <row r="105" spans="1:26" ht="60" customHeight="1" x14ac:dyDescent="0.3">
      <c r="A105" s="583">
        <f>'Unit Data from Audit Worksheet'!A116</f>
        <v>107</v>
      </c>
      <c r="B105" s="54" t="str">
        <f>'Unit Data from Audit Worksheet'!C116</f>
        <v>Revenue, Expenses, Changes in Net Position</v>
      </c>
      <c r="C105" s="584" t="str">
        <f>'Unit Data from Audit Worksheet'!D116</f>
        <v>Total Operating Revenues</v>
      </c>
      <c r="D105" s="356"/>
      <c r="E105" s="152">
        <f>'Unit Data from Audit Worksheet'!F116</f>
        <v>0</v>
      </c>
      <c r="F105" s="47"/>
      <c r="G105" s="72"/>
      <c r="H105" s="349"/>
      <c r="I105" s="38"/>
      <c r="J105" s="42">
        <v>107</v>
      </c>
      <c r="K105" s="51" t="s">
        <v>1361</v>
      </c>
      <c r="L105" s="585">
        <f t="shared" si="9"/>
        <v>0</v>
      </c>
      <c r="P105" s="318"/>
      <c r="X105" s="582"/>
      <c r="Y105" s="582"/>
      <c r="Z105" s="3" t="s">
        <v>1354</v>
      </c>
    </row>
    <row r="106" spans="1:26" ht="60" customHeight="1" x14ac:dyDescent="0.3">
      <c r="A106" s="583">
        <f>'Unit Data from Audit Worksheet'!A117</f>
        <v>108</v>
      </c>
      <c r="B106" s="54" t="str">
        <f>'Unit Data from Audit Worksheet'!C117</f>
        <v>Revenue, Expenses, Changes in Net Position</v>
      </c>
      <c r="C106" s="584" t="str">
        <f>'Unit Data from Audit Worksheet'!D117</f>
        <v>Total Operating Expenses. May include Interest Expense - Enter as a positive</v>
      </c>
      <c r="D106" s="356"/>
      <c r="E106" s="152">
        <f>'Unit Data from Audit Worksheet'!F117</f>
        <v>0</v>
      </c>
      <c r="F106" s="47"/>
      <c r="G106" s="72"/>
      <c r="H106" s="349"/>
      <c r="I106" s="38"/>
      <c r="J106" s="42">
        <v>108</v>
      </c>
      <c r="K106" s="51" t="s">
        <v>1368</v>
      </c>
      <c r="L106" s="585">
        <f t="shared" si="9"/>
        <v>0</v>
      </c>
      <c r="P106" s="318"/>
      <c r="X106" s="582"/>
      <c r="Y106" s="582"/>
      <c r="Z106" s="3" t="s">
        <v>1354</v>
      </c>
    </row>
    <row r="107" spans="1:26" ht="60" customHeight="1" x14ac:dyDescent="0.3">
      <c r="A107" s="583">
        <f>'Unit Data from Audit Worksheet'!A118</f>
        <v>41</v>
      </c>
      <c r="B107" s="54" t="str">
        <f>'Unit Data from Audit Worksheet'!C118</f>
        <v>Revenue, Expenses, Changes in Net Position</v>
      </c>
      <c r="C107" s="584" t="str">
        <f>'Unit Data from Audit Worksheet'!D118</f>
        <v xml:space="preserve">Interest Expense - Enter as a positive </v>
      </c>
      <c r="D107" s="356"/>
      <c r="E107" s="152">
        <f>'Unit Data from Audit Worksheet'!F118</f>
        <v>0</v>
      </c>
      <c r="F107" s="47"/>
      <c r="G107" s="72"/>
      <c r="H107" s="349"/>
      <c r="I107" s="38"/>
      <c r="J107" s="42">
        <v>41</v>
      </c>
      <c r="K107" s="51" t="s">
        <v>1369</v>
      </c>
      <c r="L107" s="585">
        <f t="shared" si="9"/>
        <v>0</v>
      </c>
      <c r="P107" s="318"/>
      <c r="X107" s="582"/>
      <c r="Y107" s="582"/>
      <c r="Z107" s="3" t="s">
        <v>1354</v>
      </c>
    </row>
    <row r="108" spans="1:26" ht="60" customHeight="1" x14ac:dyDescent="0.3">
      <c r="A108" s="583">
        <f>'Unit Data from Audit Worksheet'!A119</f>
        <v>194</v>
      </c>
      <c r="B108" s="54" t="str">
        <f>'Unit Data from Audit Worksheet'!C119</f>
        <v>Revenue, Expenses, Changes in Net Position</v>
      </c>
      <c r="C108" s="584" t="str">
        <f>'Unit Data from Audit Worksheet'!D119</f>
        <v xml:space="preserve">Capital Contributions </v>
      </c>
      <c r="D108" s="356"/>
      <c r="E108" s="152">
        <f>'Unit Data from Audit Worksheet'!F119</f>
        <v>0</v>
      </c>
      <c r="F108" s="47"/>
      <c r="G108" s="72"/>
      <c r="H108" s="349"/>
      <c r="I108" s="38"/>
      <c r="J108" s="42">
        <v>194</v>
      </c>
      <c r="K108" s="51" t="s">
        <v>1362</v>
      </c>
      <c r="L108" s="585">
        <f t="shared" si="9"/>
        <v>0</v>
      </c>
      <c r="P108" s="318"/>
      <c r="X108" s="582"/>
      <c r="Y108" s="582"/>
      <c r="Z108" s="3" t="s">
        <v>1354</v>
      </c>
    </row>
    <row r="109" spans="1:26" ht="60" customHeight="1" x14ac:dyDescent="0.3">
      <c r="A109" s="583">
        <f>'Unit Data from Audit Worksheet'!A120</f>
        <v>294</v>
      </c>
      <c r="B109" s="54" t="str">
        <f>'Unit Data from Audit Worksheet'!C120</f>
        <v>Revenue, Expenses, Changes in Net Position</v>
      </c>
      <c r="C109" s="584" t="str">
        <f>'Unit Data from Audit Worksheet'!D120</f>
        <v>Change in Net Position</v>
      </c>
      <c r="D109" s="356"/>
      <c r="E109" s="152">
        <f>'Unit Data from Audit Worksheet'!F120</f>
        <v>0</v>
      </c>
      <c r="F109" s="47"/>
      <c r="G109" s="72"/>
      <c r="H109" s="349"/>
      <c r="I109" s="38"/>
      <c r="J109" s="42">
        <v>294</v>
      </c>
      <c r="K109" s="51" t="s">
        <v>1363</v>
      </c>
      <c r="L109" s="585">
        <f t="shared" si="9"/>
        <v>0</v>
      </c>
      <c r="P109" s="318"/>
      <c r="X109" s="582"/>
      <c r="Y109" s="582"/>
      <c r="Z109" s="3" t="s">
        <v>1354</v>
      </c>
    </row>
    <row r="110" spans="1:26" ht="60" customHeight="1" x14ac:dyDescent="0.3">
      <c r="A110" s="583">
        <f>'Unit Data from Audit Worksheet'!A123</f>
        <v>31</v>
      </c>
      <c r="B110" s="54" t="str">
        <f>'Unit Data from Audit Worksheet'!C123</f>
        <v>Combined Totals of all Proprietary Funds - Revenue, Expenses, Changes in Net Position</v>
      </c>
      <c r="C110" s="584" t="str">
        <f>'Unit Data from Audit Worksheet'!D123</f>
        <v>Combined Totals of all Proprietary Funds - Change in net position - (increase in net position is recorded as a positive and a decrease in net position is recorded as a negative)</v>
      </c>
      <c r="D110" s="356"/>
      <c r="E110" s="152">
        <f>'Unit Data from Audit Worksheet'!F123</f>
        <v>0</v>
      </c>
      <c r="F110" s="47"/>
      <c r="G110" s="72"/>
      <c r="H110" s="349"/>
      <c r="I110" s="38"/>
      <c r="J110" s="42">
        <v>31</v>
      </c>
      <c r="K110" s="51" t="s">
        <v>1347</v>
      </c>
      <c r="L110" s="585">
        <f t="shared" si="9"/>
        <v>0</v>
      </c>
      <c r="P110" s="318"/>
      <c r="X110" s="582"/>
      <c r="Y110" s="582"/>
    </row>
    <row r="111" spans="1:26" ht="60" customHeight="1" x14ac:dyDescent="0.3">
      <c r="A111" s="583">
        <f>'Unit Data from Audit Worksheet'!A124</f>
        <v>193</v>
      </c>
      <c r="B111" s="54" t="str">
        <f>'Unit Data from Audit Worksheet'!C124</f>
        <v>Combined Proprietary Funds - Change in Cash Flow Statement</v>
      </c>
      <c r="C111" s="584" t="str">
        <f>'Unit Data from Audit Worksheet'!D124</f>
        <v>Combined Totals of all Proprietary Funds - Capital Contributions</v>
      </c>
      <c r="D111" s="356"/>
      <c r="E111" s="152">
        <f>'Unit Data from Audit Worksheet'!F124</f>
        <v>0</v>
      </c>
      <c r="F111" s="47"/>
      <c r="G111" s="72"/>
      <c r="H111" s="349"/>
      <c r="I111" s="38"/>
      <c r="J111" s="42">
        <v>193</v>
      </c>
      <c r="K111" s="51" t="s">
        <v>382</v>
      </c>
      <c r="L111" s="585">
        <f t="shared" si="9"/>
        <v>0</v>
      </c>
      <c r="P111" s="318"/>
      <c r="X111" s="582"/>
      <c r="Y111" s="582"/>
    </row>
    <row r="112" spans="1:26" ht="60" customHeight="1" x14ac:dyDescent="0.3">
      <c r="A112" s="583">
        <f>'Unit Data from Audit Worksheet'!A125</f>
        <v>33</v>
      </c>
      <c r="B112" s="54" t="str">
        <f>'Unit Data from Audit Worksheet'!C125</f>
        <v>Combined Proprietary Funds - Change in Cash Flow Statement</v>
      </c>
      <c r="C112" s="584" t="str">
        <f>'Unit Data from Audit Worksheet'!D125</f>
        <v>Combined Totals of all Proprietary Funds - Cash Flow from Operating</v>
      </c>
      <c r="D112" s="356"/>
      <c r="E112" s="152">
        <f>'Unit Data from Audit Worksheet'!F125</f>
        <v>0</v>
      </c>
      <c r="F112" s="47"/>
      <c r="G112" s="72"/>
      <c r="H112" s="349"/>
      <c r="I112" s="38"/>
      <c r="J112" s="42">
        <v>33</v>
      </c>
      <c r="K112" s="51" t="s">
        <v>317</v>
      </c>
      <c r="L112" s="585">
        <f t="shared" si="9"/>
        <v>0</v>
      </c>
      <c r="P112" s="318"/>
      <c r="X112" s="582"/>
      <c r="Y112" s="582"/>
    </row>
    <row r="113" spans="1:26" ht="60" customHeight="1" x14ac:dyDescent="0.3">
      <c r="A113" s="583">
        <f>'Unit Data from Audit Worksheet'!A126</f>
        <v>104</v>
      </c>
      <c r="B113" s="54" t="str">
        <f>'Unit Data from Audit Worksheet'!C126</f>
        <v>Cash Flows</v>
      </c>
      <c r="C113" s="584" t="str">
        <f>'Unit Data from Audit Worksheet'!D126</f>
        <v>Capital Outlays</v>
      </c>
      <c r="D113" s="144"/>
      <c r="E113" s="152">
        <f>'Unit Data from Audit Worksheet'!F126</f>
        <v>0</v>
      </c>
      <c r="F113" s="47"/>
      <c r="G113" s="72"/>
      <c r="H113" s="349"/>
      <c r="I113" s="38"/>
      <c r="J113" s="42">
        <v>104</v>
      </c>
      <c r="K113" s="51" t="s">
        <v>1365</v>
      </c>
      <c r="L113" s="585">
        <f t="shared" si="9"/>
        <v>0</v>
      </c>
      <c r="P113" s="318"/>
      <c r="X113" s="582"/>
      <c r="Y113" s="582"/>
      <c r="Z113" s="3" t="s">
        <v>1354</v>
      </c>
    </row>
    <row r="114" spans="1:26" ht="60" customHeight="1" x14ac:dyDescent="0.3">
      <c r="A114" s="583">
        <f>'Unit Data from Audit Worksheet'!A127</f>
        <v>39</v>
      </c>
      <c r="B114" s="54" t="str">
        <f>'Unit Data from Audit Worksheet'!C127</f>
        <v>Cash Flows</v>
      </c>
      <c r="C114" s="584" t="str">
        <f>'Unit Data from Audit Worksheet'!D127</f>
        <v>Principal Paid - Long-term Debt</v>
      </c>
      <c r="D114" s="144"/>
      <c r="E114" s="152">
        <f>'Unit Data from Audit Worksheet'!F127</f>
        <v>0</v>
      </c>
      <c r="F114" s="47"/>
      <c r="G114" s="72"/>
      <c r="H114" s="349"/>
      <c r="I114" s="38"/>
      <c r="J114" s="42">
        <v>39</v>
      </c>
      <c r="K114" s="51" t="s">
        <v>1366</v>
      </c>
      <c r="L114" s="585">
        <f t="shared" si="9"/>
        <v>0</v>
      </c>
      <c r="P114" s="318"/>
      <c r="X114" s="582"/>
      <c r="Y114" s="582"/>
      <c r="Z114" s="3" t="s">
        <v>1354</v>
      </c>
    </row>
    <row r="115" spans="1:26" ht="60" customHeight="1" x14ac:dyDescent="0.3">
      <c r="A115" s="337">
        <f>'Unit Data from Audit Worksheet'!A131</f>
        <v>596</v>
      </c>
      <c r="B115" s="351"/>
      <c r="C115" s="336" t="str">
        <f>'Unit Data from Audit Worksheet'!D131</f>
        <v>Indicate if your water/sewer system:
50 - Became Operational
51 - Ceased Operations
52 - No Change</v>
      </c>
      <c r="D115" s="144"/>
      <c r="E115" s="357">
        <f>'Unit Data from Audit Worksheet'!F131</f>
        <v>0</v>
      </c>
      <c r="F115" s="350"/>
      <c r="G115" s="350"/>
      <c r="H115" s="349">
        <f>'Unit Data from Audit Worksheet'!I131</f>
        <v>0</v>
      </c>
      <c r="I115" s="38"/>
      <c r="J115" s="348">
        <v>596</v>
      </c>
      <c r="K115" s="347" t="s">
        <v>616</v>
      </c>
      <c r="L115" s="585">
        <f t="shared" si="9"/>
        <v>0</v>
      </c>
      <c r="P115" s="319"/>
      <c r="W115" s="3" t="b">
        <f t="shared" si="10"/>
        <v>1</v>
      </c>
      <c r="X115" s="582">
        <f t="shared" si="1"/>
        <v>0</v>
      </c>
      <c r="Y115" s="582">
        <f t="shared" si="2"/>
        <v>0</v>
      </c>
    </row>
    <row r="116" spans="1:26" ht="43.2" x14ac:dyDescent="0.3">
      <c r="A116" s="337">
        <f>'Unit Data from Audit Worksheet'!A132</f>
        <v>80</v>
      </c>
      <c r="B116" s="351" t="str">
        <f>'Unit Data from Audit Worksheet'!C132</f>
        <v>Water Sewer Net Position Statement</v>
      </c>
      <c r="C116" s="336" t="str">
        <f>'Unit Data from Audit Worksheet'!D132</f>
        <v>Unrestricted Cash and investments 
Exclude restricted cash and/or restricted investments.</v>
      </c>
      <c r="D116" s="144"/>
      <c r="E116" s="357">
        <f>'Unit Data from Audit Worksheet'!F132</f>
        <v>0</v>
      </c>
      <c r="F116" s="350">
        <f>IF(L116&lt;0,"Error: Number is normally positive.",)</f>
        <v>0</v>
      </c>
      <c r="G116" s="350" t="e">
        <f>'Unit Data from Audit Worksheet'!G132</f>
        <v>#N/A</v>
      </c>
      <c r="H116" s="349">
        <f>'Unit Data from Audit Worksheet'!I132</f>
        <v>0</v>
      </c>
      <c r="I116" s="38"/>
      <c r="J116" s="348">
        <v>80</v>
      </c>
      <c r="K116" s="347" t="s">
        <v>218</v>
      </c>
      <c r="L116" s="585">
        <f t="shared" si="9"/>
        <v>0</v>
      </c>
      <c r="P116" s="319"/>
      <c r="W116" s="3" t="b">
        <f t="shared" si="10"/>
        <v>1</v>
      </c>
      <c r="X116" s="582">
        <f t="shared" si="1"/>
        <v>0</v>
      </c>
      <c r="Y116" s="582">
        <f t="shared" si="2"/>
        <v>0</v>
      </c>
    </row>
    <row r="117" spans="1:26" ht="43.2" x14ac:dyDescent="0.3">
      <c r="A117" s="337">
        <f>'Unit Data from Audit Worksheet'!A133</f>
        <v>81</v>
      </c>
      <c r="B117" s="351" t="str">
        <f>'Unit Data from Audit Worksheet'!C133</f>
        <v>Water Sewer Net Position Statement</v>
      </c>
      <c r="C117" s="336" t="str">
        <f>'Unit Data from Audit Worksheet'!D133</f>
        <v>Customer accounts receivable (net of allowance accounts). 
Include both billed and unbilled amounts.</v>
      </c>
      <c r="D117" s="144"/>
      <c r="E117" s="357">
        <f>'Unit Data from Audit Worksheet'!F133</f>
        <v>0</v>
      </c>
      <c r="F117" s="350">
        <f>IF(L117&lt;0,"Error: Number is normally positive.",)</f>
        <v>0</v>
      </c>
      <c r="G117" s="352"/>
      <c r="H117" s="349">
        <f>'Unit Data from Audit Worksheet'!I133</f>
        <v>0</v>
      </c>
      <c r="I117" s="38"/>
      <c r="J117" s="348">
        <v>81</v>
      </c>
      <c r="K117" s="347" t="s">
        <v>219</v>
      </c>
      <c r="L117" s="585">
        <f t="shared" si="9"/>
        <v>0</v>
      </c>
      <c r="P117" s="319"/>
      <c r="W117" s="3" t="b">
        <f t="shared" si="10"/>
        <v>1</v>
      </c>
      <c r="X117" s="582">
        <f t="shared" ref="X117:X181" si="12">E117-L117</f>
        <v>0</v>
      </c>
      <c r="Y117" s="582">
        <f t="shared" ref="Y117:Y181" si="13">D117-L117</f>
        <v>0</v>
      </c>
    </row>
    <row r="118" spans="1:26" ht="68.25" customHeight="1" x14ac:dyDescent="0.3">
      <c r="A118" s="337">
        <f>'Unit Data from Audit Worksheet'!A134</f>
        <v>579</v>
      </c>
      <c r="B118" s="351" t="str">
        <f>'Unit Data from Audit Worksheet'!C134</f>
        <v>Water Sewer Net Position Statement</v>
      </c>
      <c r="C118" s="336" t="str">
        <f>'Unit Data from Audit Worksheet'!D134</f>
        <v>Water Sewer - Advance To:
Interfund loan receivable-portion of repayment plan longer than 12 months</v>
      </c>
      <c r="D118" s="144"/>
      <c r="E118" s="357">
        <f>'Unit Data from Audit Worksheet'!F134</f>
        <v>0</v>
      </c>
      <c r="F118" s="350"/>
      <c r="G118" s="352"/>
      <c r="H118" s="349"/>
      <c r="I118" s="38"/>
      <c r="J118" s="348">
        <v>579</v>
      </c>
      <c r="K118" s="347" t="s">
        <v>562</v>
      </c>
      <c r="L118" s="585">
        <f t="shared" si="9"/>
        <v>0</v>
      </c>
      <c r="N118" s="609"/>
      <c r="P118" s="319"/>
      <c r="W118" s="3" t="b">
        <f t="shared" si="10"/>
        <v>1</v>
      </c>
      <c r="X118" s="582">
        <f t="shared" si="12"/>
        <v>0</v>
      </c>
      <c r="Y118" s="582">
        <f t="shared" si="13"/>
        <v>0</v>
      </c>
    </row>
    <row r="119" spans="1:26" ht="47.25" customHeight="1" x14ac:dyDescent="0.3">
      <c r="A119" s="337">
        <f>'Unit Data from Audit Worksheet'!A135</f>
        <v>510</v>
      </c>
      <c r="B119" s="351" t="str">
        <f>'Unit Data from Audit Worksheet'!C135</f>
        <v>Water Sewer Net Position Statement</v>
      </c>
      <c r="C119" s="336" t="str">
        <f>'Unit Data from Audit Worksheet'!D135</f>
        <v>Amount of Inventories and Prepaid expenses in current assets</v>
      </c>
      <c r="D119" s="144"/>
      <c r="E119" s="357">
        <f>'Unit Data from Audit Worksheet'!F135</f>
        <v>0</v>
      </c>
      <c r="F119" s="350"/>
      <c r="G119" s="352"/>
      <c r="H119" s="349">
        <f>'Unit Data from Audit Worksheet'!I135</f>
        <v>0</v>
      </c>
      <c r="I119" s="38"/>
      <c r="J119" s="348">
        <v>510</v>
      </c>
      <c r="K119" s="347" t="s">
        <v>220</v>
      </c>
      <c r="L119" s="585">
        <f t="shared" si="9"/>
        <v>0</v>
      </c>
      <c r="P119" s="319"/>
      <c r="W119" s="3" t="b">
        <f t="shared" si="10"/>
        <v>1</v>
      </c>
      <c r="X119" s="582">
        <f t="shared" si="12"/>
        <v>0</v>
      </c>
      <c r="Y119" s="582">
        <f t="shared" si="13"/>
        <v>0</v>
      </c>
    </row>
    <row r="120" spans="1:26" ht="43.2" x14ac:dyDescent="0.3">
      <c r="A120" s="337">
        <f>'Unit Data from Audit Worksheet'!A136</f>
        <v>654</v>
      </c>
      <c r="B120" s="351" t="str">
        <f>'Unit Data from Audit Worksheet'!C136</f>
        <v>Water Sewer Net Position Statement</v>
      </c>
      <c r="C120" s="336" t="str">
        <f>'Unit Data from Audit Worksheet'!D136</f>
        <v xml:space="preserve">Total Current assets as listed on the WS Net Position Statement.  
</v>
      </c>
      <c r="D120" s="144"/>
      <c r="E120" s="357">
        <f>'Unit Data from Audit Worksheet'!F136</f>
        <v>0</v>
      </c>
      <c r="F120" s="350">
        <f>IF((+L116+L117+L119)&gt;L120,"Please review components of current assets above Acct. (80+81+510&gt;654",)</f>
        <v>0</v>
      </c>
      <c r="G120" s="352" t="str">
        <f>IF(Q120=1," Included in error count"," ")</f>
        <v xml:space="preserve"> </v>
      </c>
      <c r="H120" s="349">
        <f>'Unit Data from Audit Worksheet'!I136</f>
        <v>0</v>
      </c>
      <c r="I120" s="38"/>
      <c r="J120" s="348">
        <v>654</v>
      </c>
      <c r="K120" s="354" t="s">
        <v>806</v>
      </c>
      <c r="L120" s="585">
        <f t="shared" si="9"/>
        <v>0</v>
      </c>
      <c r="P120" s="319"/>
      <c r="Q120" s="575">
        <f>IF((+L116+L117+L119)&gt;L120,1,0)</f>
        <v>0</v>
      </c>
      <c r="W120" s="3" t="b">
        <f t="shared" si="10"/>
        <v>1</v>
      </c>
      <c r="X120" s="582">
        <f t="shared" si="12"/>
        <v>0</v>
      </c>
      <c r="Y120" s="582">
        <f t="shared" si="13"/>
        <v>0</v>
      </c>
    </row>
    <row r="121" spans="1:26" ht="43.2" x14ac:dyDescent="0.3">
      <c r="A121" s="337">
        <f>'Unit Data from Audit Worksheet'!A137</f>
        <v>655</v>
      </c>
      <c r="B121" s="351" t="str">
        <f>'Unit Data from Audit Worksheet'!C137</f>
        <v>Water Sewer Net Position Statement</v>
      </c>
      <c r="C121" s="336" t="str">
        <f>'Unit Data from Audit Worksheet'!D137</f>
        <v>WS-Any current assets that are restricted (Cash, Accounts Rec., etc..) and included in account 654 above</v>
      </c>
      <c r="D121" s="144"/>
      <c r="E121" s="357">
        <f>'Unit Data from Audit Worksheet'!F137</f>
        <v>0</v>
      </c>
      <c r="F121" s="350"/>
      <c r="G121" s="352"/>
      <c r="H121" s="349"/>
      <c r="I121" s="38"/>
      <c r="J121" s="348">
        <v>655</v>
      </c>
      <c r="K121" s="354" t="s">
        <v>847</v>
      </c>
      <c r="L121" s="585">
        <f t="shared" si="9"/>
        <v>0</v>
      </c>
      <c r="P121" s="319"/>
      <c r="W121" s="3" t="b">
        <f t="shared" si="10"/>
        <v>1</v>
      </c>
      <c r="X121" s="582">
        <f t="shared" si="12"/>
        <v>0</v>
      </c>
      <c r="Y121" s="582">
        <f t="shared" si="13"/>
        <v>0</v>
      </c>
    </row>
    <row r="122" spans="1:26" ht="42.75" customHeight="1" x14ac:dyDescent="0.3">
      <c r="A122" s="337">
        <f>'Unit Data from Audit Worksheet'!A138</f>
        <v>381</v>
      </c>
      <c r="B122" s="351" t="str">
        <f>'Unit Data from Audit Worksheet'!C138</f>
        <v>Water Sewer Net Position Statement</v>
      </c>
      <c r="C122" s="336" t="str">
        <f>'Unit Data from Audit Worksheet'!D138</f>
        <v>Total Assets and deferred outflows</v>
      </c>
      <c r="D122" s="144"/>
      <c r="E122" s="357">
        <f>'Unit Data from Audit Worksheet'!F138</f>
        <v>0</v>
      </c>
      <c r="F122" s="350" t="str">
        <f>IF(L122&lt;L120,"Please review components of current assets above acct. 381&lt;654"," ")</f>
        <v xml:space="preserve"> </v>
      </c>
      <c r="G122" s="352" t="str">
        <f>IF(Q122=1," Included in error count"," ")</f>
        <v xml:space="preserve"> </v>
      </c>
      <c r="H122" s="349">
        <f>'Unit Data from Audit Worksheet'!I138</f>
        <v>0</v>
      </c>
      <c r="I122" s="38"/>
      <c r="J122" s="348">
        <v>381</v>
      </c>
      <c r="K122" s="347" t="s">
        <v>113</v>
      </c>
      <c r="L122" s="585">
        <f t="shared" si="9"/>
        <v>0</v>
      </c>
      <c r="P122" s="319"/>
      <c r="Q122" s="575">
        <f>IF(L122&lt;L120,1,0)</f>
        <v>0</v>
      </c>
      <c r="W122" s="3" t="b">
        <f t="shared" si="10"/>
        <v>1</v>
      </c>
      <c r="X122" s="582">
        <f t="shared" si="12"/>
        <v>0</v>
      </c>
      <c r="Y122" s="582">
        <f t="shared" si="13"/>
        <v>0</v>
      </c>
    </row>
    <row r="123" spans="1:26" ht="60.75" customHeight="1" x14ac:dyDescent="0.3">
      <c r="A123" s="597">
        <f>'Unit Data from Audit Worksheet'!A139</f>
        <v>578</v>
      </c>
      <c r="B123" s="117" t="str">
        <f>'Unit Data from Audit Worksheet'!C139</f>
        <v>Water Sewer Net Position Statement</v>
      </c>
      <c r="C123" s="587"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563</v>
      </c>
      <c r="L123" s="585">
        <f t="shared" si="9"/>
        <v>0</v>
      </c>
      <c r="P123" s="320"/>
      <c r="Q123" s="353"/>
      <c r="W123" s="3" t="b">
        <f t="shared" si="10"/>
        <v>1</v>
      </c>
      <c r="X123" s="582">
        <f t="shared" si="12"/>
        <v>0</v>
      </c>
      <c r="Y123" s="582">
        <f t="shared" si="13"/>
        <v>0</v>
      </c>
    </row>
    <row r="124" spans="1:26" s="18" customFormat="1" ht="104.25" customHeight="1" x14ac:dyDescent="0.3">
      <c r="A124" s="308">
        <v>633</v>
      </c>
      <c r="B124" s="364" t="str">
        <f>'Unit Data from Audit Worksheet'!C140</f>
        <v>Water Sewer Net Position Statement</v>
      </c>
      <c r="C124" s="308"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3">
        <f>'Unit Data from Audit Worksheet'!F140</f>
        <v>0</v>
      </c>
      <c r="F124" s="345" t="str">
        <f>IF(L124&gt;=(L125+L126+L127+L128+L129+L130),"","Account 633 is less than the total sum of accounts 634 through 638 + 383")</f>
        <v/>
      </c>
      <c r="G124" s="330">
        <f>L124-(L125+L126+L127+L128+L129+L130)</f>
        <v>0</v>
      </c>
      <c r="H124" s="345"/>
      <c r="I124" s="598"/>
      <c r="J124" s="344">
        <v>633</v>
      </c>
      <c r="K124" s="311" t="s">
        <v>735</v>
      </c>
      <c r="L124" s="599">
        <f>IF(D124="",E124,D124)</f>
        <v>0</v>
      </c>
      <c r="M124" s="589"/>
      <c r="N124" s="589"/>
      <c r="O124" s="589"/>
      <c r="P124" s="321"/>
      <c r="Q124" s="590"/>
      <c r="R124" s="3"/>
      <c r="S124" s="589"/>
      <c r="T124" s="589"/>
      <c r="U124" s="589"/>
      <c r="V124" s="589"/>
      <c r="W124" s="18" t="b">
        <f t="shared" si="10"/>
        <v>1</v>
      </c>
      <c r="X124" s="591">
        <f t="shared" si="12"/>
        <v>0</v>
      </c>
      <c r="Y124" s="591">
        <f t="shared" si="13"/>
        <v>0</v>
      </c>
    </row>
    <row r="125" spans="1:26" s="18" customFormat="1" ht="130.5" customHeight="1" x14ac:dyDescent="0.3">
      <c r="A125" s="308">
        <v>634</v>
      </c>
      <c r="B125" s="364" t="str">
        <f>'Unit Data from Audit Worksheet'!C141</f>
        <v>Water Sewer Net Position Statement</v>
      </c>
      <c r="C125" s="308"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3">
        <f>'Unit Data from Audit Worksheet'!F141</f>
        <v>0</v>
      </c>
      <c r="F125" s="345"/>
      <c r="G125" s="330"/>
      <c r="H125" s="345"/>
      <c r="I125" s="598"/>
      <c r="J125" s="344">
        <v>634</v>
      </c>
      <c r="K125" s="311" t="s">
        <v>736</v>
      </c>
      <c r="L125" s="599">
        <f>IF(D125="",E125,D125)</f>
        <v>0</v>
      </c>
      <c r="M125" s="589"/>
      <c r="N125" s="589"/>
      <c r="O125" s="589"/>
      <c r="P125" s="321"/>
      <c r="Q125" s="590"/>
      <c r="R125" s="3"/>
      <c r="S125" s="589"/>
      <c r="T125" s="589"/>
      <c r="U125" s="589"/>
      <c r="V125" s="589"/>
      <c r="W125" s="18" t="b">
        <f t="shared" si="10"/>
        <v>1</v>
      </c>
      <c r="X125" s="591">
        <f t="shared" si="12"/>
        <v>0</v>
      </c>
      <c r="Y125" s="591">
        <f t="shared" si="13"/>
        <v>0</v>
      </c>
    </row>
    <row r="126" spans="1:26" s="18" customFormat="1" ht="105.75" customHeight="1" x14ac:dyDescent="0.3">
      <c r="A126" s="308">
        <v>635</v>
      </c>
      <c r="B126" s="364" t="str">
        <f>'Unit Data from Audit Worksheet'!C142</f>
        <v>Water Sewer Net Position Statement</v>
      </c>
      <c r="C126" s="308"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3">
        <f>'Unit Data from Audit Worksheet'!F142</f>
        <v>0</v>
      </c>
      <c r="F126" s="345"/>
      <c r="G126" s="330"/>
      <c r="H126" s="345"/>
      <c r="I126" s="598"/>
      <c r="J126" s="344">
        <v>635</v>
      </c>
      <c r="K126" s="311" t="s">
        <v>737</v>
      </c>
      <c r="L126" s="599">
        <f>IF(D126="",E126,D126)</f>
        <v>0</v>
      </c>
      <c r="M126" s="589"/>
      <c r="N126" s="589"/>
      <c r="O126" s="589"/>
      <c r="P126" s="321"/>
      <c r="Q126" s="590"/>
      <c r="R126" s="3"/>
      <c r="S126" s="589"/>
      <c r="T126" s="589"/>
      <c r="U126" s="589"/>
      <c r="V126" s="589"/>
      <c r="W126" s="18" t="b">
        <f t="shared" si="10"/>
        <v>1</v>
      </c>
      <c r="X126" s="591">
        <f t="shared" si="12"/>
        <v>0</v>
      </c>
      <c r="Y126" s="591">
        <f t="shared" si="13"/>
        <v>0</v>
      </c>
    </row>
    <row r="127" spans="1:26" s="18" customFormat="1" ht="105.75" customHeight="1" x14ac:dyDescent="0.3">
      <c r="A127" s="308">
        <v>636</v>
      </c>
      <c r="B127" s="364" t="str">
        <f>'Unit Data from Audit Worksheet'!C143</f>
        <v>Water Sewer Net Position Statement</v>
      </c>
      <c r="C127" s="308"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3">
        <f>'Unit Data from Audit Worksheet'!F143</f>
        <v>0</v>
      </c>
      <c r="F127" s="345"/>
      <c r="G127" s="330"/>
      <c r="H127" s="345"/>
      <c r="I127" s="598"/>
      <c r="J127" s="344">
        <v>636</v>
      </c>
      <c r="K127" s="311" t="s">
        <v>732</v>
      </c>
      <c r="L127" s="599">
        <f t="shared" ref="L127:L137" si="14">IF(D127="",E127,D127)</f>
        <v>0</v>
      </c>
      <c r="M127" s="589"/>
      <c r="N127" s="589"/>
      <c r="O127" s="589"/>
      <c r="P127" s="321"/>
      <c r="Q127" s="590"/>
      <c r="R127" s="3"/>
      <c r="S127" s="589"/>
      <c r="T127" s="589"/>
      <c r="U127" s="589"/>
      <c r="V127" s="589"/>
      <c r="W127" s="18" t="b">
        <f t="shared" si="10"/>
        <v>1</v>
      </c>
      <c r="X127" s="591">
        <f t="shared" si="12"/>
        <v>0</v>
      </c>
      <c r="Y127" s="591">
        <f t="shared" si="13"/>
        <v>0</v>
      </c>
    </row>
    <row r="128" spans="1:26" s="18" customFormat="1" ht="59.25" customHeight="1" x14ac:dyDescent="0.3">
      <c r="A128" s="308">
        <v>637</v>
      </c>
      <c r="B128" s="364" t="str">
        <f>'Unit Data from Audit Worksheet'!C144</f>
        <v>Water Sewer Net Position Statement</v>
      </c>
      <c r="C128" s="308" t="str">
        <f>'Unit Data from Audit Worksheet'!D144</f>
        <v>Please enter any current liabilities that are payable from restricted assets and included in account 633 above.
Enter as positive</v>
      </c>
      <c r="D128" s="110"/>
      <c r="E128" s="363">
        <f>'Unit Data from Audit Worksheet'!F144</f>
        <v>0</v>
      </c>
      <c r="F128" s="345"/>
      <c r="G128" s="330"/>
      <c r="H128" s="345"/>
      <c r="I128" s="598"/>
      <c r="J128" s="344">
        <v>637</v>
      </c>
      <c r="K128" s="311" t="s">
        <v>733</v>
      </c>
      <c r="L128" s="599">
        <f t="shared" si="14"/>
        <v>0</v>
      </c>
      <c r="M128" s="589"/>
      <c r="N128" s="589"/>
      <c r="O128" s="589"/>
      <c r="P128" s="321"/>
      <c r="Q128" s="590"/>
      <c r="R128" s="3"/>
      <c r="S128" s="589"/>
      <c r="T128" s="589"/>
      <c r="U128" s="589"/>
      <c r="V128" s="589"/>
      <c r="W128" s="18" t="b">
        <f t="shared" si="10"/>
        <v>1</v>
      </c>
      <c r="X128" s="591">
        <f t="shared" si="12"/>
        <v>0</v>
      </c>
      <c r="Y128" s="591">
        <f t="shared" si="13"/>
        <v>0</v>
      </c>
    </row>
    <row r="129" spans="1:25" s="18" customFormat="1" ht="103.5" customHeight="1" x14ac:dyDescent="0.3">
      <c r="A129" s="308">
        <v>638</v>
      </c>
      <c r="B129" s="364" t="str">
        <f>'Unit Data from Audit Worksheet'!C145</f>
        <v>Water Sewer Net Position Statement</v>
      </c>
      <c r="C129" s="308"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3">
        <f>'Unit Data from Audit Worksheet'!F145</f>
        <v>0</v>
      </c>
      <c r="F129" s="345"/>
      <c r="G129" s="330"/>
      <c r="H129" s="345"/>
      <c r="I129" s="598"/>
      <c r="J129" s="344">
        <v>638</v>
      </c>
      <c r="K129" s="311" t="s">
        <v>738</v>
      </c>
      <c r="L129" s="599">
        <f t="shared" si="14"/>
        <v>0</v>
      </c>
      <c r="M129" s="589"/>
      <c r="N129" s="589"/>
      <c r="O129" s="589"/>
      <c r="P129" s="321"/>
      <c r="Q129" s="590"/>
      <c r="R129" s="3"/>
      <c r="S129" s="589"/>
      <c r="T129" s="589"/>
      <c r="U129" s="589"/>
      <c r="V129" s="589"/>
      <c r="W129" s="18" t="b">
        <f t="shared" si="10"/>
        <v>1</v>
      </c>
      <c r="X129" s="591">
        <f t="shared" si="12"/>
        <v>0</v>
      </c>
      <c r="Y129" s="591">
        <f t="shared" si="13"/>
        <v>0</v>
      </c>
    </row>
    <row r="130" spans="1:25" ht="76.5" customHeight="1" x14ac:dyDescent="0.3">
      <c r="A130" s="583">
        <f>'Unit Data from Audit Worksheet'!A146</f>
        <v>383</v>
      </c>
      <c r="B130" s="54" t="str">
        <f>'Unit Data from Audit Worksheet'!C146</f>
        <v>Water Sewer Net Position Statement</v>
      </c>
      <c r="C130" s="584"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9">
        <f>'Unit Data from Audit Worksheet'!I146</f>
        <v>0</v>
      </c>
      <c r="I130" s="38"/>
      <c r="J130" s="42">
        <v>383</v>
      </c>
      <c r="K130" s="51" t="s">
        <v>221</v>
      </c>
      <c r="L130" s="585">
        <f t="shared" si="14"/>
        <v>0</v>
      </c>
      <c r="P130" s="318"/>
      <c r="W130" s="3" t="b">
        <f t="shared" si="10"/>
        <v>1</v>
      </c>
      <c r="X130" s="582">
        <f t="shared" si="12"/>
        <v>0</v>
      </c>
      <c r="Y130" s="582">
        <f t="shared" si="13"/>
        <v>0</v>
      </c>
    </row>
    <row r="131" spans="1:25" ht="54" customHeight="1" x14ac:dyDescent="0.3">
      <c r="A131" s="337">
        <f>'Unit Data from Audit Worksheet'!A147</f>
        <v>349</v>
      </c>
      <c r="B131" s="351" t="str">
        <f>'Unit Data from Audit Worksheet'!C147</f>
        <v>Water Sewer Net Position Statement</v>
      </c>
      <c r="C131" s="336" t="str">
        <f>'Unit Data from Audit Worksheet'!D147</f>
        <v>Total Liabilities and deferred inflows</v>
      </c>
      <c r="D131" s="144"/>
      <c r="E131" s="357">
        <f>'Unit Data from Audit Worksheet'!F147</f>
        <v>0</v>
      </c>
      <c r="F131" s="350">
        <f>IF(L124&gt;L131,"Error: Please review accts 633&gt;349",)</f>
        <v>0</v>
      </c>
      <c r="G131" s="352" t="str">
        <f>IF(Q131=1," Included in error count"," ")</f>
        <v xml:space="preserve"> </v>
      </c>
      <c r="H131" s="349">
        <f>'Unit Data from Audit Worksheet'!I147</f>
        <v>0</v>
      </c>
      <c r="I131" s="38"/>
      <c r="J131" s="348">
        <v>349</v>
      </c>
      <c r="K131" s="347" t="s">
        <v>122</v>
      </c>
      <c r="L131" s="585">
        <f t="shared" si="14"/>
        <v>0</v>
      </c>
      <c r="P131" s="319"/>
      <c r="Q131" s="575">
        <f>IF(L124&gt;L131,1,0)</f>
        <v>0</v>
      </c>
      <c r="W131" s="3" t="b">
        <f t="shared" si="10"/>
        <v>1</v>
      </c>
      <c r="X131" s="582">
        <f t="shared" si="12"/>
        <v>0</v>
      </c>
      <c r="Y131" s="582">
        <f t="shared" si="13"/>
        <v>0</v>
      </c>
    </row>
    <row r="132" spans="1:25" ht="56.25" customHeight="1" x14ac:dyDescent="0.3">
      <c r="A132" s="337">
        <f>'Unit Data from Audit Worksheet'!A148</f>
        <v>375</v>
      </c>
      <c r="B132" s="351" t="str">
        <f>'Unit Data from Audit Worksheet'!C148</f>
        <v>Water Sewer Net Position Statement</v>
      </c>
      <c r="C132" s="336" t="str">
        <f>'Unit Data from Audit Worksheet'!D148</f>
        <v>Total Net position, Unrestricted - enter negative unrestricted net position as a negative</v>
      </c>
      <c r="D132" s="144"/>
      <c r="E132" s="357">
        <f>'Unit Data from Audit Worksheet'!F148</f>
        <v>0</v>
      </c>
      <c r="F132" s="350"/>
      <c r="G132" s="352"/>
      <c r="H132" s="349">
        <f>'Unit Data from Audit Worksheet'!I148</f>
        <v>0</v>
      </c>
      <c r="I132" s="38"/>
      <c r="J132" s="348">
        <v>375</v>
      </c>
      <c r="K132" s="347" t="s">
        <v>222</v>
      </c>
      <c r="L132" s="585">
        <f t="shared" si="14"/>
        <v>0</v>
      </c>
      <c r="P132" s="319"/>
      <c r="W132" s="3" t="b">
        <f t="shared" si="10"/>
        <v>1</v>
      </c>
      <c r="X132" s="582">
        <f t="shared" si="12"/>
        <v>0</v>
      </c>
      <c r="Y132" s="582">
        <f t="shared" si="13"/>
        <v>0</v>
      </c>
    </row>
    <row r="133" spans="1:25" ht="56.25" customHeight="1" x14ac:dyDescent="0.3">
      <c r="A133" s="337">
        <f>'Unit Data from Audit Worksheet'!A149</f>
        <v>83</v>
      </c>
      <c r="B133" s="351" t="str">
        <f>'Unit Data from Audit Worksheet'!C149</f>
        <v>Water Sewer Net Position Statement</v>
      </c>
      <c r="C133" s="336" t="str">
        <f>'Unit Data from Audit Worksheet'!D149</f>
        <v>Total Net position</v>
      </c>
      <c r="D133" s="144"/>
      <c r="E133" s="357">
        <f>'Unit Data from Audit Worksheet'!F149</f>
        <v>0</v>
      </c>
      <c r="F133" s="350">
        <f>IF(+L122-L131-L133=0,,"Error: Total assets less total liabilities do not equal net position acct 381-349-83=0")</f>
        <v>0</v>
      </c>
      <c r="G133" s="91">
        <f>L122-L131-L133</f>
        <v>0</v>
      </c>
      <c r="H133" s="349">
        <f>'Unit Data from Audit Worksheet'!I149</f>
        <v>0</v>
      </c>
      <c r="I133" s="38"/>
      <c r="J133" s="348">
        <v>83</v>
      </c>
      <c r="K133" s="347" t="s">
        <v>102</v>
      </c>
      <c r="L133" s="585">
        <f t="shared" si="14"/>
        <v>0</v>
      </c>
      <c r="O133" s="593" t="e">
        <f>'Unit Data from Audit Worksheet'!E149</f>
        <v>#N/A</v>
      </c>
      <c r="P133" s="319"/>
      <c r="Q133" s="575">
        <f>IF(G133&lt;&gt;0,1,0)</f>
        <v>0</v>
      </c>
      <c r="W133" s="3" t="b">
        <f t="shared" ref="W133:W164" si="15">EXACT(A133,J133)</f>
        <v>1</v>
      </c>
      <c r="X133" s="582">
        <f t="shared" si="12"/>
        <v>0</v>
      </c>
      <c r="Y133" s="582">
        <f t="shared" si="13"/>
        <v>0</v>
      </c>
    </row>
    <row r="134" spans="1:25" ht="56.25" customHeight="1" x14ac:dyDescent="0.3">
      <c r="A134" s="337">
        <f>'Unit Data from Audit Worksheet'!A151</f>
        <v>90</v>
      </c>
      <c r="B134" s="351" t="str">
        <f>'Unit Data from Audit Worksheet'!C151</f>
        <v>Electric Fund Net Position Statement</v>
      </c>
      <c r="C134" s="336" t="str">
        <f>'Unit Data from Audit Worksheet'!D151</f>
        <v>All Unrestricted Cash and Investments.  
Exclude any restricted cash and investments.</v>
      </c>
      <c r="D134" s="144"/>
      <c r="E134" s="357">
        <f>'Unit Data from Audit Worksheet'!F151</f>
        <v>0</v>
      </c>
      <c r="F134" s="350">
        <f>IF(L134&lt;0,"Error: Number is normally positive.",)</f>
        <v>0</v>
      </c>
      <c r="G134" s="352"/>
      <c r="H134" s="349">
        <f>'Unit Data from Audit Worksheet'!I151</f>
        <v>0</v>
      </c>
      <c r="I134" s="38"/>
      <c r="J134" s="348">
        <v>90</v>
      </c>
      <c r="K134" s="347" t="s">
        <v>223</v>
      </c>
      <c r="L134" s="585">
        <f t="shared" si="14"/>
        <v>0</v>
      </c>
      <c r="P134" s="319"/>
      <c r="W134" s="3" t="b">
        <f t="shared" si="15"/>
        <v>1</v>
      </c>
      <c r="X134" s="582">
        <f t="shared" si="12"/>
        <v>0</v>
      </c>
      <c r="Y134" s="582">
        <f t="shared" si="13"/>
        <v>0</v>
      </c>
    </row>
    <row r="135" spans="1:25" ht="56.25" customHeight="1" x14ac:dyDescent="0.3">
      <c r="A135" s="337">
        <f>'Unit Data from Audit Worksheet'!A152</f>
        <v>91</v>
      </c>
      <c r="B135" s="351" t="str">
        <f>'Unit Data from Audit Worksheet'!C152</f>
        <v>Electric Fund Net Position Statement</v>
      </c>
      <c r="C135" s="336" t="str">
        <f>'Unit Data from Audit Worksheet'!D152</f>
        <v xml:space="preserve">Customer accounts receivable (net of allowance accounts)
Include billed and unbilled amounts </v>
      </c>
      <c r="D135" s="144"/>
      <c r="E135" s="357">
        <f>'Unit Data from Audit Worksheet'!F152</f>
        <v>0</v>
      </c>
      <c r="F135" s="350">
        <f>IF(L135&lt;0,"Error: Number is normally positive.",)</f>
        <v>0</v>
      </c>
      <c r="G135" s="352"/>
      <c r="H135" s="349">
        <f>'Unit Data from Audit Worksheet'!I152</f>
        <v>0</v>
      </c>
      <c r="I135" s="38"/>
      <c r="J135" s="348">
        <v>91</v>
      </c>
      <c r="K135" s="347" t="s">
        <v>224</v>
      </c>
      <c r="L135" s="585">
        <f t="shared" si="14"/>
        <v>0</v>
      </c>
      <c r="P135" s="319"/>
      <c r="W135" s="3" t="b">
        <f t="shared" si="15"/>
        <v>1</v>
      </c>
      <c r="X135" s="582">
        <f t="shared" si="12"/>
        <v>0</v>
      </c>
      <c r="Y135" s="582">
        <f t="shared" si="13"/>
        <v>0</v>
      </c>
    </row>
    <row r="136" spans="1:25" ht="56.25" customHeight="1" x14ac:dyDescent="0.3">
      <c r="A136" s="337">
        <f>'Unit Data from Audit Worksheet'!A153</f>
        <v>581</v>
      </c>
      <c r="B136" s="351" t="str">
        <f>'Unit Data from Audit Worksheet'!C153</f>
        <v>Electric Fund Net Position Statement</v>
      </c>
      <c r="C136" s="336" t="str">
        <f>'Unit Data from Audit Worksheet'!D153</f>
        <v>Electric Fund - Advance To:
Interfund loan receivable-portion of repayment plan longer than 12 months</v>
      </c>
      <c r="D136" s="144"/>
      <c r="E136" s="357">
        <f>'Unit Data from Audit Worksheet'!F153</f>
        <v>0</v>
      </c>
      <c r="F136" s="350"/>
      <c r="G136" s="352"/>
      <c r="H136" s="349"/>
      <c r="I136" s="38"/>
      <c r="J136" s="348">
        <v>581</v>
      </c>
      <c r="K136" s="347" t="s">
        <v>564</v>
      </c>
      <c r="L136" s="585">
        <f t="shared" si="14"/>
        <v>0</v>
      </c>
      <c r="P136" s="319"/>
      <c r="W136" s="3" t="b">
        <f t="shared" si="15"/>
        <v>1</v>
      </c>
      <c r="X136" s="582">
        <f t="shared" si="12"/>
        <v>0</v>
      </c>
      <c r="Y136" s="582">
        <f t="shared" si="13"/>
        <v>0</v>
      </c>
    </row>
    <row r="137" spans="1:25" ht="56.25" customHeight="1" x14ac:dyDescent="0.3">
      <c r="A137" s="337">
        <f>'Unit Data from Audit Worksheet'!A154</f>
        <v>511</v>
      </c>
      <c r="B137" s="351" t="str">
        <f>'Unit Data from Audit Worksheet'!C154</f>
        <v>Electric Fund Net Position Statement</v>
      </c>
      <c r="C137" s="336" t="str">
        <f>'Unit Data from Audit Worksheet'!D154</f>
        <v>Amount of inventories and prepaids</v>
      </c>
      <c r="D137" s="144"/>
      <c r="E137" s="357">
        <f>'Unit Data from Audit Worksheet'!F154</f>
        <v>0</v>
      </c>
      <c r="F137" s="350">
        <f t="shared" ref="F137:F142" si="16">IF(L137&lt;0,"Error: Number is normally positive.",)</f>
        <v>0</v>
      </c>
      <c r="G137" s="352"/>
      <c r="H137" s="349">
        <f>'Unit Data from Audit Worksheet'!I154</f>
        <v>0</v>
      </c>
      <c r="I137" s="38"/>
      <c r="J137" s="348">
        <v>511</v>
      </c>
      <c r="K137" s="347" t="s">
        <v>225</v>
      </c>
      <c r="L137" s="585">
        <f t="shared" si="14"/>
        <v>0</v>
      </c>
      <c r="P137" s="319"/>
      <c r="W137" s="3" t="b">
        <f t="shared" si="15"/>
        <v>1</v>
      </c>
      <c r="X137" s="582">
        <f t="shared" si="12"/>
        <v>0</v>
      </c>
      <c r="Y137" s="582">
        <f t="shared" si="13"/>
        <v>0</v>
      </c>
    </row>
    <row r="138" spans="1:25" ht="62.25" customHeight="1" x14ac:dyDescent="0.3">
      <c r="A138" s="337">
        <f>'Unit Data from Audit Worksheet'!A155</f>
        <v>657</v>
      </c>
      <c r="B138" s="351" t="str">
        <f>'Unit Data from Audit Worksheet'!C155</f>
        <v>Electric Fund Net Position Statement</v>
      </c>
      <c r="C138" s="336" t="str">
        <f>'Unit Data from Audit Worksheet'!D155</f>
        <v xml:space="preserve">Total Current assets as listed on the Electric Net Position Statement.  
</v>
      </c>
      <c r="D138" s="144"/>
      <c r="E138" s="357">
        <f>'Unit Data from Audit Worksheet'!F155</f>
        <v>0</v>
      </c>
      <c r="F138" s="350">
        <f t="shared" si="16"/>
        <v>0</v>
      </c>
      <c r="G138" s="352"/>
      <c r="H138" s="349">
        <f>'Unit Data from Audit Worksheet'!I155</f>
        <v>0</v>
      </c>
      <c r="I138" s="38"/>
      <c r="J138" s="348">
        <v>657</v>
      </c>
      <c r="K138" s="347" t="s">
        <v>811</v>
      </c>
      <c r="L138" s="599">
        <f>IF(D138="",E138,D138)</f>
        <v>0</v>
      </c>
      <c r="P138" s="319"/>
      <c r="Q138" s="575">
        <f>IF((L134+L135+L137)&gt;L140,1,0)</f>
        <v>0</v>
      </c>
      <c r="W138" s="3" t="b">
        <f t="shared" si="15"/>
        <v>1</v>
      </c>
      <c r="X138" s="582">
        <f t="shared" si="12"/>
        <v>0</v>
      </c>
      <c r="Y138" s="582">
        <f t="shared" si="13"/>
        <v>0</v>
      </c>
    </row>
    <row r="139" spans="1:25" ht="62.25" customHeight="1" x14ac:dyDescent="0.3">
      <c r="A139" s="337">
        <f>'Unit Data from Audit Worksheet'!A156</f>
        <v>658</v>
      </c>
      <c r="B139" s="351" t="str">
        <f>'Unit Data from Audit Worksheet'!C156</f>
        <v>Electric Fund Net Position Statement</v>
      </c>
      <c r="C139" s="336" t="str">
        <f>'Unit Data from Audit Worksheet'!D156</f>
        <v>Electric-Any current assets that are restricted (Cash, Accounts Rec., etc..) and included in account 657 above</v>
      </c>
      <c r="D139" s="144"/>
      <c r="E139" s="357">
        <f>'Unit Data from Audit Worksheet'!F156</f>
        <v>0</v>
      </c>
      <c r="F139" s="350">
        <f t="shared" si="16"/>
        <v>0</v>
      </c>
      <c r="G139" s="352"/>
      <c r="H139" s="349"/>
      <c r="I139" s="38"/>
      <c r="J139" s="348">
        <v>658</v>
      </c>
      <c r="K139" s="347" t="s">
        <v>846</v>
      </c>
      <c r="L139" s="599">
        <f>IF(D139="",E139,D139)</f>
        <v>0</v>
      </c>
      <c r="P139" s="319"/>
      <c r="W139" s="3" t="b">
        <f t="shared" si="15"/>
        <v>1</v>
      </c>
      <c r="X139" s="582">
        <f t="shared" si="12"/>
        <v>0</v>
      </c>
      <c r="Y139" s="582">
        <f t="shared" si="13"/>
        <v>0</v>
      </c>
    </row>
    <row r="140" spans="1:25" ht="39.75" customHeight="1" x14ac:dyDescent="0.3">
      <c r="A140" s="337">
        <f>'Unit Data from Audit Worksheet'!A157</f>
        <v>382</v>
      </c>
      <c r="B140" s="351" t="str">
        <f>'Unit Data from Audit Worksheet'!C157</f>
        <v>Electric Fund Net Position Statement</v>
      </c>
      <c r="C140" s="336" t="str">
        <f>'Unit Data from Audit Worksheet'!D157</f>
        <v>Total Assets and deferred outflows</v>
      </c>
      <c r="D140" s="144"/>
      <c r="E140" s="357">
        <f>'Unit Data from Audit Worksheet'!F157</f>
        <v>0</v>
      </c>
      <c r="F140" s="350">
        <f t="shared" si="16"/>
        <v>0</v>
      </c>
      <c r="G140" s="352"/>
      <c r="H140" s="349">
        <f>'Unit Data from Audit Worksheet'!I157</f>
        <v>0</v>
      </c>
      <c r="I140" s="38"/>
      <c r="J140" s="348">
        <v>382</v>
      </c>
      <c r="K140" s="347" t="s">
        <v>114</v>
      </c>
      <c r="L140" s="585">
        <f>IF(D140="",E140,D140)</f>
        <v>0</v>
      </c>
      <c r="P140" s="319"/>
      <c r="W140" s="3" t="b">
        <f t="shared" si="15"/>
        <v>1</v>
      </c>
      <c r="X140" s="582">
        <f t="shared" si="12"/>
        <v>0</v>
      </c>
      <c r="Y140" s="582">
        <f t="shared" si="13"/>
        <v>0</v>
      </c>
    </row>
    <row r="141" spans="1:25" ht="39.75" customHeight="1" x14ac:dyDescent="0.3">
      <c r="A141" s="337">
        <f>'Unit Data from Audit Worksheet'!A158</f>
        <v>360</v>
      </c>
      <c r="B141" s="351" t="str">
        <f>'Unit Data from Audit Worksheet'!C158</f>
        <v>Electric Fund Net Position Statement</v>
      </c>
      <c r="C141" s="336" t="str">
        <f>'Unit Data from Audit Worksheet'!D158</f>
        <v>Total liabilities and total deferred inflows</v>
      </c>
      <c r="D141" s="144"/>
      <c r="E141" s="357">
        <f>'Unit Data from Audit Worksheet'!F158</f>
        <v>0</v>
      </c>
      <c r="F141" s="350">
        <f t="shared" si="16"/>
        <v>0</v>
      </c>
      <c r="G141" s="352"/>
      <c r="H141" s="349">
        <f>'Unit Data from Audit Worksheet'!I158</f>
        <v>0</v>
      </c>
      <c r="I141" s="38"/>
      <c r="J141" s="348">
        <v>360</v>
      </c>
      <c r="K141" s="109" t="s">
        <v>125</v>
      </c>
      <c r="L141" s="585">
        <f>IF(D141="",E141,D141)</f>
        <v>0</v>
      </c>
      <c r="P141" s="319"/>
      <c r="W141" s="3" t="b">
        <f t="shared" si="15"/>
        <v>1</v>
      </c>
      <c r="X141" s="582">
        <f t="shared" si="12"/>
        <v>0</v>
      </c>
      <c r="Y141" s="582">
        <f t="shared" si="13"/>
        <v>0</v>
      </c>
    </row>
    <row r="142" spans="1:25" ht="58.5" customHeight="1" x14ac:dyDescent="0.3">
      <c r="A142" s="337">
        <f>'Unit Data from Audit Worksheet'!A159</f>
        <v>580</v>
      </c>
      <c r="B142" s="351" t="str">
        <f>'Unit Data from Audit Worksheet'!C159</f>
        <v>Electric Fund Net Position Statement</v>
      </c>
      <c r="C142" s="336" t="str">
        <f>'Unit Data from Audit Worksheet'!D159</f>
        <v>Electric Fund - Advance From:
Interfund loans payable-portion of repayment plan longer than 12 months</v>
      </c>
      <c r="D142" s="144"/>
      <c r="E142" s="357">
        <f>'Unit Data from Audit Worksheet'!F159</f>
        <v>0</v>
      </c>
      <c r="F142" s="350">
        <f t="shared" si="16"/>
        <v>0</v>
      </c>
      <c r="G142" s="352"/>
      <c r="H142" s="349">
        <f>'Unit Data from Audit Worksheet'!I159</f>
        <v>0</v>
      </c>
      <c r="I142" s="38"/>
      <c r="J142" s="348">
        <v>580</v>
      </c>
      <c r="K142" s="109" t="s">
        <v>565</v>
      </c>
      <c r="L142" s="585">
        <f>IF(D142="",E142,D142)</f>
        <v>0</v>
      </c>
      <c r="N142" s="594"/>
      <c r="P142" s="319"/>
      <c r="W142" s="3" t="b">
        <f t="shared" si="15"/>
        <v>1</v>
      </c>
      <c r="X142" s="582">
        <f t="shared" si="12"/>
        <v>0</v>
      </c>
      <c r="Y142" s="582">
        <f t="shared" si="13"/>
        <v>0</v>
      </c>
    </row>
    <row r="143" spans="1:25" s="18" customFormat="1" ht="104.25" customHeight="1" x14ac:dyDescent="0.3">
      <c r="A143" s="337">
        <f>'Unit Data from Audit Worksheet'!A160</f>
        <v>639</v>
      </c>
      <c r="B143" s="351" t="str">
        <f>'Unit Data from Audit Worksheet'!C160</f>
        <v>Electric Fund Net Position Statement</v>
      </c>
      <c r="C143" s="336"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7">
        <f>'Unit Data from Audit Worksheet'!F160</f>
        <v>0</v>
      </c>
      <c r="F143" s="350" t="str">
        <f>IF(L143&gt;=(L144+L145+L146+L147+L148+L149),"","Account 639 is less than the total sum of accounts 640 through 644 + 384")</f>
        <v/>
      </c>
      <c r="G143" s="352">
        <f>L143-(L144+L145+L146+L147+L148+L149)</f>
        <v>0</v>
      </c>
      <c r="H143" s="349">
        <f>'Unit Data from Audit Worksheet'!I160</f>
        <v>0</v>
      </c>
      <c r="I143" s="38"/>
      <c r="J143" s="348">
        <v>639</v>
      </c>
      <c r="K143" s="347" t="s">
        <v>739</v>
      </c>
      <c r="L143" s="599">
        <f t="shared" ref="L143:L164" si="17">IF(D143="",E143,D143)</f>
        <v>0</v>
      </c>
      <c r="P143" s="319"/>
      <c r="Q143" s="575"/>
      <c r="R143" s="3"/>
      <c r="W143" s="18" t="b">
        <f t="shared" si="15"/>
        <v>1</v>
      </c>
      <c r="X143" s="591">
        <f t="shared" si="12"/>
        <v>0</v>
      </c>
      <c r="Y143" s="591">
        <f t="shared" si="13"/>
        <v>0</v>
      </c>
    </row>
    <row r="144" spans="1:25" s="18" customFormat="1" ht="104.25" customHeight="1" x14ac:dyDescent="0.3">
      <c r="A144" s="337">
        <f>'Unit Data from Audit Worksheet'!A161</f>
        <v>640</v>
      </c>
      <c r="B144" s="351" t="str">
        <f>'Unit Data from Audit Worksheet'!C161</f>
        <v>Electric Fund Net Position Statement</v>
      </c>
      <c r="C144" s="336"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7">
        <f>'Unit Data from Audit Worksheet'!F161</f>
        <v>0</v>
      </c>
      <c r="F144" s="350">
        <f t="shared" ref="F144:F149" si="18">IF(L144&lt;0,"Error: Number is normally positive.",)</f>
        <v>0</v>
      </c>
      <c r="G144" s="352"/>
      <c r="H144" s="349">
        <f>'Unit Data from Audit Worksheet'!I161</f>
        <v>0</v>
      </c>
      <c r="I144" s="38"/>
      <c r="J144" s="348">
        <v>640</v>
      </c>
      <c r="K144" s="347" t="s">
        <v>740</v>
      </c>
      <c r="L144" s="599">
        <f t="shared" si="17"/>
        <v>0</v>
      </c>
      <c r="P144" s="319"/>
      <c r="Q144" s="575"/>
      <c r="R144" s="3"/>
      <c r="W144" s="18" t="b">
        <f t="shared" si="15"/>
        <v>1</v>
      </c>
      <c r="X144" s="591">
        <f t="shared" si="12"/>
        <v>0</v>
      </c>
      <c r="Y144" s="591">
        <f t="shared" si="13"/>
        <v>0</v>
      </c>
    </row>
    <row r="145" spans="1:25" s="18" customFormat="1" ht="104.25" customHeight="1" x14ac:dyDescent="0.3">
      <c r="A145" s="337">
        <f>'Unit Data from Audit Worksheet'!A162</f>
        <v>641</v>
      </c>
      <c r="B145" s="351" t="str">
        <f>'Unit Data from Audit Worksheet'!C162</f>
        <v>Electric Fund Net Position Statement</v>
      </c>
      <c r="C145" s="336"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7">
        <f>'Unit Data from Audit Worksheet'!F162</f>
        <v>0</v>
      </c>
      <c r="F145" s="350">
        <f t="shared" si="18"/>
        <v>0</v>
      </c>
      <c r="G145" s="352"/>
      <c r="H145" s="349">
        <f>'Unit Data from Audit Worksheet'!I162</f>
        <v>0</v>
      </c>
      <c r="I145" s="38"/>
      <c r="J145" s="348">
        <v>641</v>
      </c>
      <c r="K145" s="347" t="s">
        <v>741</v>
      </c>
      <c r="L145" s="599">
        <f t="shared" si="17"/>
        <v>0</v>
      </c>
      <c r="P145" s="319"/>
      <c r="Q145" s="575"/>
      <c r="R145" s="3"/>
      <c r="W145" s="18" t="b">
        <f t="shared" si="15"/>
        <v>1</v>
      </c>
      <c r="X145" s="591">
        <f t="shared" si="12"/>
        <v>0</v>
      </c>
      <c r="Y145" s="591">
        <f t="shared" si="13"/>
        <v>0</v>
      </c>
    </row>
    <row r="146" spans="1:25" s="18" customFormat="1" ht="104.25" customHeight="1" x14ac:dyDescent="0.3">
      <c r="A146" s="337">
        <f>'Unit Data from Audit Worksheet'!A163</f>
        <v>642</v>
      </c>
      <c r="B146" s="351" t="str">
        <f>'Unit Data from Audit Worksheet'!C163</f>
        <v>Electric Fund Net Position Statement</v>
      </c>
      <c r="C146" s="336"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7">
        <f>'Unit Data from Audit Worksheet'!F163</f>
        <v>0</v>
      </c>
      <c r="F146" s="350">
        <f t="shared" si="18"/>
        <v>0</v>
      </c>
      <c r="G146" s="352"/>
      <c r="H146" s="349">
        <f>'Unit Data from Audit Worksheet'!I163</f>
        <v>0</v>
      </c>
      <c r="I146" s="38"/>
      <c r="J146" s="348">
        <v>642</v>
      </c>
      <c r="K146" s="347" t="s">
        <v>742</v>
      </c>
      <c r="L146" s="599">
        <f t="shared" si="17"/>
        <v>0</v>
      </c>
      <c r="P146" s="319"/>
      <c r="Q146" s="575"/>
      <c r="R146" s="3"/>
      <c r="W146" s="18" t="b">
        <f t="shared" si="15"/>
        <v>1</v>
      </c>
      <c r="X146" s="591">
        <f t="shared" si="12"/>
        <v>0</v>
      </c>
      <c r="Y146" s="591">
        <f t="shared" si="13"/>
        <v>0</v>
      </c>
    </row>
    <row r="147" spans="1:25" s="18" customFormat="1" ht="60.75" customHeight="1" x14ac:dyDescent="0.3">
      <c r="A147" s="337">
        <f>'Unit Data from Audit Worksheet'!A164</f>
        <v>643</v>
      </c>
      <c r="B147" s="351" t="str">
        <f>'Unit Data from Audit Worksheet'!C164</f>
        <v>Electric Fund Net Position Statement</v>
      </c>
      <c r="C147" s="336" t="str">
        <f>'Unit Data from Audit Worksheet'!D164</f>
        <v>Please enter any current liabilities that are payable from restricted assets and included in account 639 above. 
Enter as a positive</v>
      </c>
      <c r="D147" s="144"/>
      <c r="E147" s="357">
        <f>'Unit Data from Audit Worksheet'!F164</f>
        <v>0</v>
      </c>
      <c r="F147" s="350">
        <f t="shared" si="18"/>
        <v>0</v>
      </c>
      <c r="G147" s="352"/>
      <c r="H147" s="349">
        <f>'Unit Data from Audit Worksheet'!I164</f>
        <v>0</v>
      </c>
      <c r="I147" s="38"/>
      <c r="J147" s="348">
        <v>643</v>
      </c>
      <c r="K147" s="347" t="s">
        <v>743</v>
      </c>
      <c r="L147" s="599">
        <f t="shared" si="17"/>
        <v>0</v>
      </c>
      <c r="P147" s="319"/>
      <c r="Q147" s="575"/>
      <c r="R147" s="3"/>
      <c r="W147" s="18" t="b">
        <f t="shared" si="15"/>
        <v>1</v>
      </c>
      <c r="X147" s="591">
        <f t="shared" si="12"/>
        <v>0</v>
      </c>
      <c r="Y147" s="591">
        <f t="shared" si="13"/>
        <v>0</v>
      </c>
    </row>
    <row r="148" spans="1:25" s="18" customFormat="1" ht="102" customHeight="1" x14ac:dyDescent="0.3">
      <c r="A148" s="337">
        <f>'Unit Data from Audit Worksheet'!A165</f>
        <v>644</v>
      </c>
      <c r="B148" s="351" t="str">
        <f>'Unit Data from Audit Worksheet'!C165</f>
        <v>Electric Fund Net Position Statement</v>
      </c>
      <c r="C148" s="336"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7">
        <f>'Unit Data from Audit Worksheet'!F165</f>
        <v>0</v>
      </c>
      <c r="F148" s="350">
        <f t="shared" si="18"/>
        <v>0</v>
      </c>
      <c r="G148" s="352"/>
      <c r="H148" s="349">
        <f>'Unit Data from Audit Worksheet'!I165</f>
        <v>0</v>
      </c>
      <c r="I148" s="38"/>
      <c r="J148" s="277">
        <v>644</v>
      </c>
      <c r="K148" s="347" t="s">
        <v>744</v>
      </c>
      <c r="L148" s="599">
        <f t="shared" si="17"/>
        <v>0</v>
      </c>
      <c r="P148" s="322"/>
      <c r="Q148" s="575"/>
      <c r="R148" s="3"/>
      <c r="W148" s="18" t="b">
        <f t="shared" si="15"/>
        <v>1</v>
      </c>
      <c r="X148" s="591">
        <f t="shared" si="12"/>
        <v>0</v>
      </c>
      <c r="Y148" s="591">
        <f t="shared" si="13"/>
        <v>0</v>
      </c>
    </row>
    <row r="149" spans="1:25" ht="63.75" customHeight="1" x14ac:dyDescent="0.3">
      <c r="A149" s="337">
        <f>+'Unit Data from Audit Worksheet'!A166</f>
        <v>384</v>
      </c>
      <c r="B149" s="337" t="str">
        <f>+'Unit Data from Audit Worksheet'!C166</f>
        <v>Electric Fund Net Position Statement</v>
      </c>
      <c r="C149" s="337" t="str">
        <f>+'Unit Data from Audit Worksheet'!D166</f>
        <v>Unearned revenue (arising from cash receipts) that were included in Current Liabilities in account 639 above.
Enter as a positive</v>
      </c>
      <c r="D149" s="144"/>
      <c r="E149" s="357">
        <f>+'Unit Data from Audit Worksheet'!F166</f>
        <v>0</v>
      </c>
      <c r="F149" s="350">
        <f t="shared" si="18"/>
        <v>0</v>
      </c>
      <c r="G149" s="352"/>
      <c r="H149" s="349">
        <f>'Unit Data from Audit Worksheet'!I166</f>
        <v>0</v>
      </c>
      <c r="I149" s="38"/>
      <c r="J149" s="348">
        <v>384</v>
      </c>
      <c r="K149" s="58" t="s">
        <v>124</v>
      </c>
      <c r="L149" s="585">
        <f t="shared" si="17"/>
        <v>0</v>
      </c>
      <c r="P149" s="319"/>
      <c r="W149" s="3" t="b">
        <f t="shared" si="15"/>
        <v>1</v>
      </c>
      <c r="X149" s="582">
        <f t="shared" si="12"/>
        <v>0</v>
      </c>
      <c r="Y149" s="582">
        <f t="shared" si="13"/>
        <v>0</v>
      </c>
    </row>
    <row r="150" spans="1:25" ht="86.4" x14ac:dyDescent="0.3">
      <c r="A150" s="337">
        <f>+'Unit Data from Audit Worksheet'!A167</f>
        <v>361</v>
      </c>
      <c r="B150" s="337" t="str">
        <f>+'Unit Data from Audit Worksheet'!C167</f>
        <v>Electric Fund Net Position Statement</v>
      </c>
      <c r="C150" s="337"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7">
        <f>+'Unit Data from Audit Worksheet'!F167</f>
        <v>0</v>
      </c>
      <c r="F150" s="350"/>
      <c r="G150" s="352"/>
      <c r="H150" s="349">
        <f>'Unit Data from Audit Worksheet'!I167</f>
        <v>0</v>
      </c>
      <c r="I150" s="38"/>
      <c r="J150" s="348">
        <v>361</v>
      </c>
      <c r="K150" s="347" t="s">
        <v>106</v>
      </c>
      <c r="L150" s="585">
        <f t="shared" si="17"/>
        <v>0</v>
      </c>
      <c r="P150" s="319"/>
      <c r="W150" s="3" t="b">
        <f t="shared" si="15"/>
        <v>1</v>
      </c>
      <c r="X150" s="582">
        <f t="shared" si="12"/>
        <v>0</v>
      </c>
      <c r="Y150" s="582">
        <f t="shared" si="13"/>
        <v>0</v>
      </c>
    </row>
    <row r="151" spans="1:25" ht="46.5" customHeight="1" x14ac:dyDescent="0.3">
      <c r="A151" s="337">
        <f>'Unit Data from Audit Worksheet'!A168</f>
        <v>362</v>
      </c>
      <c r="B151" s="351" t="str">
        <f>'Unit Data from Audit Worksheet'!C168</f>
        <v>Electric Fund Net Position Statement</v>
      </c>
      <c r="C151" s="336" t="str">
        <f>'Unit Data from Audit Worksheet'!D168</f>
        <v>Total net position</v>
      </c>
      <c r="D151" s="144"/>
      <c r="E151" s="357">
        <f>'Unit Data from Audit Worksheet'!F168</f>
        <v>0</v>
      </c>
      <c r="F151" s="350">
        <f>IF(L140-L141-L151=0,,"Error: Total assets less total liabilities do not equal net position acct 382-360-362=0")</f>
        <v>0</v>
      </c>
      <c r="G151" s="91">
        <f>+L140-L141-L151</f>
        <v>0</v>
      </c>
      <c r="H151" s="349">
        <f>'Unit Data from Audit Worksheet'!I168</f>
        <v>0</v>
      </c>
      <c r="I151" s="38"/>
      <c r="J151" s="348">
        <v>362</v>
      </c>
      <c r="K151" s="347" t="s">
        <v>107</v>
      </c>
      <c r="L151" s="585">
        <f t="shared" si="17"/>
        <v>0</v>
      </c>
      <c r="O151" s="593" t="e">
        <f>'Unit Data from Audit Worksheet'!E168</f>
        <v>#N/A</v>
      </c>
      <c r="P151" s="319"/>
      <c r="Q151" s="575">
        <f>IF(+L140-L141-L151=0,0,1)</f>
        <v>0</v>
      </c>
      <c r="W151" s="3" t="b">
        <f t="shared" si="15"/>
        <v>1</v>
      </c>
      <c r="X151" s="582">
        <f t="shared" si="12"/>
        <v>0</v>
      </c>
      <c r="Y151" s="582">
        <f t="shared" si="13"/>
        <v>0</v>
      </c>
    </row>
    <row r="152" spans="1:25" ht="61.5" customHeight="1" x14ac:dyDescent="0.3">
      <c r="A152" s="337">
        <f>'Unit Data from Audit Worksheet'!A171</f>
        <v>88</v>
      </c>
      <c r="B152" s="351" t="str">
        <f>'Unit Data from Audit Worksheet'!C171</f>
        <v>Water Sewer Revenue, Expenses &amp; Changes in Fund Net Position</v>
      </c>
      <c r="C152" s="336" t="str">
        <f>'Unit Data from Audit Worksheet'!D171</f>
        <v>Charges for services. 
Exclude tap, capacity fees and other misc. income .</v>
      </c>
      <c r="D152" s="144"/>
      <c r="E152" s="357">
        <f>'Unit Data from Audit Worksheet'!F171</f>
        <v>0</v>
      </c>
      <c r="F152" s="350"/>
      <c r="G152" s="352"/>
      <c r="H152" s="349">
        <f>'Unit Data from Audit Worksheet'!I171</f>
        <v>0</v>
      </c>
      <c r="I152" s="38"/>
      <c r="J152" s="348">
        <v>88</v>
      </c>
      <c r="K152" s="347" t="s">
        <v>226</v>
      </c>
      <c r="L152" s="585">
        <f t="shared" si="17"/>
        <v>0</v>
      </c>
      <c r="P152" s="319"/>
      <c r="Q152" s="353"/>
      <c r="W152" s="3" t="b">
        <f t="shared" si="15"/>
        <v>1</v>
      </c>
      <c r="X152" s="582">
        <f t="shared" si="12"/>
        <v>0</v>
      </c>
      <c r="Y152" s="582">
        <f t="shared" si="13"/>
        <v>0</v>
      </c>
    </row>
    <row r="153" spans="1:25" ht="72" customHeight="1" x14ac:dyDescent="0.3">
      <c r="A153" s="337">
        <f>'Unit Data from Audit Worksheet'!A172</f>
        <v>84</v>
      </c>
      <c r="B153" s="351" t="str">
        <f>'Unit Data from Audit Worksheet'!C172</f>
        <v>Water Sewer Revenue, Expenses &amp; Changes in Fund Net Position</v>
      </c>
      <c r="C153" s="336" t="str">
        <f>'Unit Data from Audit Worksheet'!D172</f>
        <v>Total Operating revenues</v>
      </c>
      <c r="D153" s="144"/>
      <c r="E153" s="357">
        <f>'Unit Data from Audit Worksheet'!F172</f>
        <v>0</v>
      </c>
      <c r="F153" s="350" t="str">
        <f>IF(L152&gt;L153,"Error: Charges for services exceed total operating revenues. Acct # 88&gt;84"," ")</f>
        <v xml:space="preserve"> </v>
      </c>
      <c r="G153" s="352" t="str">
        <f>IF(Q153=1," Included in error count"," ")</f>
        <v xml:space="preserve"> </v>
      </c>
      <c r="H153" s="349">
        <f>'Unit Data from Audit Worksheet'!I172</f>
        <v>0</v>
      </c>
      <c r="I153" s="38"/>
      <c r="J153" s="348">
        <v>84</v>
      </c>
      <c r="K153" s="347" t="s">
        <v>227</v>
      </c>
      <c r="L153" s="585">
        <f t="shared" si="17"/>
        <v>0</v>
      </c>
      <c r="P153" s="319"/>
      <c r="Q153" s="575">
        <f>IF(L152&gt;L153,1,0)</f>
        <v>0</v>
      </c>
      <c r="W153" s="3" t="b">
        <f t="shared" si="15"/>
        <v>1</v>
      </c>
      <c r="X153" s="582">
        <f t="shared" si="12"/>
        <v>0</v>
      </c>
      <c r="Y153" s="582">
        <f t="shared" si="13"/>
        <v>0</v>
      </c>
    </row>
    <row r="154" spans="1:25" ht="72" customHeight="1" x14ac:dyDescent="0.3">
      <c r="A154" s="337">
        <f>'Unit Data from Audit Worksheet'!A173</f>
        <v>49</v>
      </c>
      <c r="B154" s="351" t="str">
        <f>'Unit Data from Audit Worksheet'!C173</f>
        <v>Water Sewer Revenue, Expenses &amp; Changes in Fund Net Position</v>
      </c>
      <c r="C154" s="336" t="str">
        <f>'Unit Data from Audit Worksheet'!D173</f>
        <v>Depreciation and amortization expense</v>
      </c>
      <c r="D154" s="144"/>
      <c r="E154" s="357">
        <f>'Unit Data from Audit Worksheet'!F173</f>
        <v>0</v>
      </c>
      <c r="F154" s="350">
        <f>IF(L154&lt;0,"Error: Number is normally positive.",)</f>
        <v>0</v>
      </c>
      <c r="G154" s="352"/>
      <c r="H154" s="349">
        <f>'Unit Data from Audit Worksheet'!I173</f>
        <v>0</v>
      </c>
      <c r="I154" s="38"/>
      <c r="J154" s="348">
        <v>49</v>
      </c>
      <c r="K154" s="347" t="s">
        <v>228</v>
      </c>
      <c r="L154" s="585">
        <f t="shared" si="17"/>
        <v>0</v>
      </c>
      <c r="O154" s="593"/>
      <c r="P154" s="319"/>
      <c r="W154" s="3" t="b">
        <f t="shared" si="15"/>
        <v>1</v>
      </c>
      <c r="X154" s="582">
        <f t="shared" si="12"/>
        <v>0</v>
      </c>
      <c r="Y154" s="582">
        <f t="shared" si="13"/>
        <v>0</v>
      </c>
    </row>
    <row r="155" spans="1:25" ht="48" customHeight="1" x14ac:dyDescent="0.3">
      <c r="A155" s="337">
        <f>'Unit Data from Audit Worksheet'!A174</f>
        <v>85</v>
      </c>
      <c r="B155" s="351" t="str">
        <f>'Unit Data from Audit Worksheet'!C174</f>
        <v>Water Sewer Revenue, Expenses &amp; Changes in Fund Net Position</v>
      </c>
      <c r="C155" s="336" t="str">
        <f>'Unit Data from Audit Worksheet'!D174</f>
        <v>Total Operating expenses</v>
      </c>
      <c r="D155" s="144"/>
      <c r="E155" s="357">
        <f>'Unit Data from Audit Worksheet'!F174</f>
        <v>0</v>
      </c>
      <c r="F155" s="350"/>
      <c r="G155" s="352"/>
      <c r="H155" s="349">
        <f>'Unit Data from Audit Worksheet'!I174</f>
        <v>0</v>
      </c>
      <c r="I155" s="38"/>
      <c r="J155" s="348">
        <v>85</v>
      </c>
      <c r="K155" s="347" t="s">
        <v>229</v>
      </c>
      <c r="L155" s="585">
        <f t="shared" si="17"/>
        <v>0</v>
      </c>
      <c r="P155" s="319"/>
      <c r="W155" s="3" t="b">
        <f t="shared" si="15"/>
        <v>1</v>
      </c>
      <c r="X155" s="582">
        <f t="shared" si="12"/>
        <v>0</v>
      </c>
      <c r="Y155" s="582">
        <f t="shared" si="13"/>
        <v>0</v>
      </c>
    </row>
    <row r="156" spans="1:25" ht="48" customHeight="1" x14ac:dyDescent="0.3">
      <c r="A156" s="337">
        <f>'Unit Data from Audit Worksheet'!A175</f>
        <v>89</v>
      </c>
      <c r="B156" s="351" t="str">
        <f>'Unit Data from Audit Worksheet'!C175</f>
        <v>Water Sewer Revenue, Expenses &amp; Changes in Fund Net Position</v>
      </c>
      <c r="C156" s="336" t="str">
        <f>'Unit Data from Audit Worksheet'!D175</f>
        <v>Interest expense</v>
      </c>
      <c r="D156" s="144"/>
      <c r="E156" s="357">
        <f>'Unit Data from Audit Worksheet'!F175</f>
        <v>0</v>
      </c>
      <c r="F156" s="350"/>
      <c r="G156" s="352"/>
      <c r="H156" s="349">
        <f>'Unit Data from Audit Worksheet'!I175</f>
        <v>0</v>
      </c>
      <c r="I156" s="38"/>
      <c r="J156" s="348">
        <v>89</v>
      </c>
      <c r="K156" s="347" t="s">
        <v>230</v>
      </c>
      <c r="L156" s="585">
        <f t="shared" si="17"/>
        <v>0</v>
      </c>
      <c r="P156" s="319"/>
      <c r="W156" s="3" t="b">
        <f t="shared" si="15"/>
        <v>1</v>
      </c>
      <c r="X156" s="582">
        <f t="shared" si="12"/>
        <v>0</v>
      </c>
      <c r="Y156" s="582">
        <f t="shared" si="13"/>
        <v>0</v>
      </c>
    </row>
    <row r="157" spans="1:25" ht="48" customHeight="1" x14ac:dyDescent="0.3">
      <c r="A157" s="337">
        <f>'Unit Data from Audit Worksheet'!A176</f>
        <v>350</v>
      </c>
      <c r="B157" s="351" t="str">
        <f>'Unit Data from Audit Worksheet'!C176</f>
        <v>Water Sewer Revenue, Expenses &amp; Changes in Fund Net Position</v>
      </c>
      <c r="C157" s="336" t="str">
        <f>'Unit Data from Audit Worksheet'!D176</f>
        <v>Total all non-operating revenues  
Exclude Capital contributions.</v>
      </c>
      <c r="D157" s="144"/>
      <c r="E157" s="357">
        <f>'Unit Data from Audit Worksheet'!F176</f>
        <v>0</v>
      </c>
      <c r="F157" s="350"/>
      <c r="G157" s="352"/>
      <c r="H157" s="349">
        <f>'Unit Data from Audit Worksheet'!I176</f>
        <v>0</v>
      </c>
      <c r="I157" s="38"/>
      <c r="J157" s="348">
        <v>350</v>
      </c>
      <c r="K157" s="347" t="s">
        <v>231</v>
      </c>
      <c r="L157" s="585">
        <f t="shared" si="17"/>
        <v>0</v>
      </c>
      <c r="P157" s="319"/>
      <c r="W157" s="3" t="b">
        <f t="shared" si="15"/>
        <v>1</v>
      </c>
      <c r="X157" s="582">
        <f t="shared" si="12"/>
        <v>0</v>
      </c>
      <c r="Y157" s="582">
        <f t="shared" si="13"/>
        <v>0</v>
      </c>
    </row>
    <row r="158" spans="1:25" ht="48" customHeight="1" x14ac:dyDescent="0.3">
      <c r="A158" s="337">
        <f>'Unit Data from Audit Worksheet'!A177</f>
        <v>351</v>
      </c>
      <c r="B158" s="351" t="str">
        <f>'Unit Data from Audit Worksheet'!C177</f>
        <v>Water Sewer Revenue, Expenses &amp; Changes in Fund Net Position</v>
      </c>
      <c r="C158" s="336" t="str">
        <f>'Unit Data from Audit Worksheet'!D177</f>
        <v>Total all non-operating expenses.  
Include any negative special, extraordinary, or capital contribution.</v>
      </c>
      <c r="D158" s="144"/>
      <c r="E158" s="357">
        <f>'Unit Data from Audit Worksheet'!F177</f>
        <v>0</v>
      </c>
      <c r="F158" s="350"/>
      <c r="G158" s="352"/>
      <c r="H158" s="349">
        <f>'Unit Data from Audit Worksheet'!I177</f>
        <v>0</v>
      </c>
      <c r="I158" s="38"/>
      <c r="J158" s="348">
        <v>351</v>
      </c>
      <c r="K158" s="347" t="s">
        <v>232</v>
      </c>
      <c r="L158" s="585">
        <f t="shared" si="17"/>
        <v>0</v>
      </c>
      <c r="P158" s="319"/>
      <c r="W158" s="3" t="b">
        <f t="shared" si="15"/>
        <v>1</v>
      </c>
      <c r="X158" s="582">
        <f t="shared" si="12"/>
        <v>0</v>
      </c>
      <c r="Y158" s="582">
        <f t="shared" si="13"/>
        <v>0</v>
      </c>
    </row>
    <row r="159" spans="1:25" ht="57.6" x14ac:dyDescent="0.3">
      <c r="A159" s="337">
        <f>'Unit Data from Audit Worksheet'!A178</f>
        <v>191</v>
      </c>
      <c r="B159" s="351" t="str">
        <f>'Unit Data from Audit Worksheet'!C178</f>
        <v>Water Sewer Revenue, Expenses &amp; Changes in Fund Net Position</v>
      </c>
      <c r="C159" s="336" t="str">
        <f>'Unit Data from Audit Worksheet'!D178</f>
        <v>Capital contributions. Only include positive capital contributions.  Negative capital contributions should be included with 'Total all non-operating expenses.'</v>
      </c>
      <c r="D159" s="144"/>
      <c r="E159" s="357">
        <f>'Unit Data from Audit Worksheet'!F178</f>
        <v>0</v>
      </c>
      <c r="F159" s="350">
        <f>IF(L159&lt;0,"Error: Enter as a positive.",)</f>
        <v>0</v>
      </c>
      <c r="G159" s="352"/>
      <c r="H159" s="349">
        <f>'Unit Data from Audit Worksheet'!I178</f>
        <v>0</v>
      </c>
      <c r="I159" s="38"/>
      <c r="J159" s="348">
        <v>191</v>
      </c>
      <c r="K159" s="347" t="s">
        <v>233</v>
      </c>
      <c r="L159" s="585">
        <f t="shared" si="17"/>
        <v>0</v>
      </c>
      <c r="P159" s="319"/>
      <c r="W159" s="3" t="b">
        <f t="shared" si="15"/>
        <v>1</v>
      </c>
      <c r="X159" s="582">
        <f t="shared" si="12"/>
        <v>0</v>
      </c>
      <c r="Y159" s="582">
        <f t="shared" si="13"/>
        <v>0</v>
      </c>
    </row>
    <row r="160" spans="1:25" ht="47.25" customHeight="1" x14ac:dyDescent="0.3">
      <c r="A160" s="337">
        <f>'Unit Data from Audit Worksheet'!A179</f>
        <v>352</v>
      </c>
      <c r="B160" s="351" t="str">
        <f>'Unit Data from Audit Worksheet'!C179</f>
        <v>Water Sewer Revenue, Expenses &amp; Changes in Fund Net Position</v>
      </c>
      <c r="C160" s="336" t="str">
        <f>'Unit Data from Audit Worksheet'!D179</f>
        <v>Total Transfers in - all funds (operating and capital)</v>
      </c>
      <c r="D160" s="144"/>
      <c r="E160" s="357">
        <f>'Unit Data from Audit Worksheet'!F179</f>
        <v>0</v>
      </c>
      <c r="F160" s="350"/>
      <c r="G160" s="352"/>
      <c r="H160" s="349">
        <f>'Unit Data from Audit Worksheet'!I179</f>
        <v>0</v>
      </c>
      <c r="I160" s="38"/>
      <c r="J160" s="348">
        <v>352</v>
      </c>
      <c r="K160" s="347" t="s">
        <v>234</v>
      </c>
      <c r="L160" s="585">
        <f t="shared" si="17"/>
        <v>0</v>
      </c>
      <c r="P160" s="319"/>
      <c r="W160" s="3" t="b">
        <f t="shared" si="15"/>
        <v>1</v>
      </c>
      <c r="X160" s="582">
        <f t="shared" si="12"/>
        <v>0</v>
      </c>
      <c r="Y160" s="582">
        <f t="shared" si="13"/>
        <v>0</v>
      </c>
    </row>
    <row r="161" spans="1:25" ht="70.5" customHeight="1" x14ac:dyDescent="0.3">
      <c r="A161" s="601">
        <f>'Unit Data from Audit Worksheet'!A180</f>
        <v>986</v>
      </c>
      <c r="B161" s="355" t="str">
        <f>'Unit Data from Audit Worksheet'!C180</f>
        <v>Water Sewer Revenue, Expenses &amp; Changes in Fund Net Position</v>
      </c>
      <c r="C161" s="602" t="str">
        <f>'Unit Data from Audit Worksheet'!D180</f>
        <v>Of the transfers-in above in acct # 352, list amount of transfers-in that were used to support Water Sewer operations  (exclude capital transfers)</v>
      </c>
      <c r="D161" s="144"/>
      <c r="E161" s="357">
        <f>'Unit Data from Audit Worksheet'!F180</f>
        <v>0</v>
      </c>
      <c r="F161" s="350"/>
      <c r="G161" s="352"/>
      <c r="H161" s="349"/>
      <c r="I161" s="38"/>
      <c r="J161" s="366">
        <v>986</v>
      </c>
      <c r="K161" s="602" t="s">
        <v>1070</v>
      </c>
      <c r="L161" s="603">
        <f t="shared" si="17"/>
        <v>0</v>
      </c>
      <c r="P161" s="319"/>
      <c r="W161" s="3" t="b">
        <f t="shared" si="15"/>
        <v>1</v>
      </c>
      <c r="X161" s="582"/>
      <c r="Y161" s="582"/>
    </row>
    <row r="162" spans="1:25" ht="47.25" customHeight="1" x14ac:dyDescent="0.3">
      <c r="A162" s="337">
        <f>'Unit Data from Audit Worksheet'!A181</f>
        <v>353</v>
      </c>
      <c r="B162" s="351" t="str">
        <f>'Unit Data from Audit Worksheet'!C181</f>
        <v>Water Sewer Revenue, Expenses &amp; Changes in Fund Net Position</v>
      </c>
      <c r="C162" s="336" t="str">
        <f>'Unit Data from Audit Worksheet'!D181</f>
        <v>Total Transfers out</v>
      </c>
      <c r="D162" s="144"/>
      <c r="E162" s="357">
        <f>'Unit Data from Audit Worksheet'!F181</f>
        <v>0</v>
      </c>
      <c r="F162" s="350">
        <f>IF(L162&lt;0,"Error: Enter as a positive.",)</f>
        <v>0</v>
      </c>
      <c r="G162" s="352"/>
      <c r="H162" s="349">
        <f>'Unit Data from Audit Worksheet'!I181</f>
        <v>0</v>
      </c>
      <c r="I162" s="38"/>
      <c r="J162" s="40">
        <v>353</v>
      </c>
      <c r="K162" s="347" t="s">
        <v>235</v>
      </c>
      <c r="L162" s="585">
        <f t="shared" si="17"/>
        <v>0</v>
      </c>
      <c r="P162" s="323"/>
      <c r="W162" s="3" t="b">
        <f t="shared" si="15"/>
        <v>1</v>
      </c>
      <c r="X162" s="582">
        <f t="shared" si="12"/>
        <v>0</v>
      </c>
      <c r="Y162" s="582">
        <f t="shared" si="13"/>
        <v>0</v>
      </c>
    </row>
    <row r="163" spans="1:25" ht="72.75" customHeight="1" x14ac:dyDescent="0.3">
      <c r="A163" s="337">
        <f>'Unit Data from Audit Worksheet'!A182</f>
        <v>50</v>
      </c>
      <c r="B163" s="351" t="str">
        <f>'Unit Data from Audit Worksheet'!C182</f>
        <v>Water Sewer Revenue, Expenses &amp; Changes in Fund Net Position</v>
      </c>
      <c r="C163" s="336" t="str">
        <f>'Unit Data from Audit Worksheet'!D182</f>
        <v>Change in net position - Increase in net position is recorded as a positive and a (Decrease) in net position is recorded as a negative.</v>
      </c>
      <c r="D163" s="144"/>
      <c r="E163" s="149">
        <f>'Unit Data from Audit Worksheet'!F182</f>
        <v>0</v>
      </c>
      <c r="F163" s="350">
        <f>IF(L153-L155+L157-L158+L160+L159-L162-L163=0,,"Error:Total revenues less total expenses do not equal total change in net position. Acct # 84-85+350-351+191+352-353-50")</f>
        <v>0</v>
      </c>
      <c r="G163" s="91">
        <f>+L153-L155+L157-L158+L160+L159-L162-L163</f>
        <v>0</v>
      </c>
      <c r="H163" s="349">
        <f>'Unit Data from Audit Worksheet'!I182</f>
        <v>0</v>
      </c>
      <c r="I163" s="38"/>
      <c r="J163" s="348">
        <v>50</v>
      </c>
      <c r="K163" s="347" t="s">
        <v>100</v>
      </c>
      <c r="L163" s="585">
        <f t="shared" si="17"/>
        <v>0</v>
      </c>
      <c r="P163" s="319"/>
      <c r="Q163" s="575">
        <f>IF(G163&lt;&gt;0,1,0)</f>
        <v>0</v>
      </c>
      <c r="W163" s="3" t="b">
        <f t="shared" si="15"/>
        <v>1</v>
      </c>
      <c r="X163" s="582">
        <f t="shared" si="12"/>
        <v>0</v>
      </c>
      <c r="Y163" s="582">
        <f t="shared" si="13"/>
        <v>0</v>
      </c>
    </row>
    <row r="164" spans="1:25" ht="144" customHeight="1" x14ac:dyDescent="0.3">
      <c r="A164" s="337">
        <f>'Unit Data from Audit Worksheet'!A183</f>
        <v>377</v>
      </c>
      <c r="B164" s="351" t="str">
        <f>'Unit Data from Audit Worksheet'!C183</f>
        <v>Water Sewer Revenue, Expenses &amp; Changes in Fund Net Position</v>
      </c>
      <c r="C164" s="336"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9" t="str">
        <f>'Unit Data from Audit Worksheet'!I183</f>
        <v>Please do not enter prior's years beginning balance as an adjustment in column F.</v>
      </c>
      <c r="I164" s="38"/>
      <c r="J164" s="348">
        <v>377</v>
      </c>
      <c r="K164" s="347" t="s">
        <v>109</v>
      </c>
      <c r="L164" s="585">
        <f t="shared" si="17"/>
        <v>0</v>
      </c>
      <c r="P164" s="319"/>
      <c r="Q164" s="575" t="e">
        <f>IF(G164&lt;&gt;0,1,0)</f>
        <v>#N/A</v>
      </c>
      <c r="W164" s="3" t="b">
        <f t="shared" si="15"/>
        <v>1</v>
      </c>
      <c r="X164" s="582">
        <f t="shared" si="12"/>
        <v>0</v>
      </c>
      <c r="Y164" s="582">
        <f t="shared" si="13"/>
        <v>0</v>
      </c>
    </row>
    <row r="165" spans="1:25" ht="63" customHeight="1" x14ac:dyDescent="0.3">
      <c r="A165" s="610">
        <f>'Unit Data from Audit Worksheet'!A184</f>
        <v>537</v>
      </c>
      <c r="B165" s="351" t="str">
        <f>'Unit Data from Audit Worksheet'!C184</f>
        <v>Water Sewer Revenue, Expenses &amp; Changes in Fund Net Position</v>
      </c>
      <c r="C165" s="336" t="str">
        <f>'Unit Data from Audit Worksheet'!D184</f>
        <v>Did unit raise Water Sewer rates during the audited fiscal period? - answer Yes or No</v>
      </c>
      <c r="D165" s="139"/>
      <c r="E165" s="357">
        <f>'Unit Data from Audit Worksheet'!F184</f>
        <v>0</v>
      </c>
      <c r="F165" s="350" t="s">
        <v>555</v>
      </c>
      <c r="G165" s="352"/>
      <c r="H165" s="349">
        <f>'Unit Data from Audit Worksheet'!I184</f>
        <v>0</v>
      </c>
      <c r="I165" s="38"/>
      <c r="J165" s="67">
        <v>537</v>
      </c>
      <c r="K165" s="65" t="s">
        <v>294</v>
      </c>
      <c r="L165" s="611">
        <f>IF(E165="Yes",1,IF(E165="No",2,0))</f>
        <v>0</v>
      </c>
      <c r="N165" s="61" t="s">
        <v>545</v>
      </c>
      <c r="P165" s="324"/>
      <c r="W165" s="3" t="b">
        <f t="shared" ref="W165:W196" si="19">EXACT(A165,J165)</f>
        <v>1</v>
      </c>
      <c r="X165" s="582">
        <f t="shared" si="12"/>
        <v>0</v>
      </c>
      <c r="Y165" s="582">
        <f t="shared" si="13"/>
        <v>0</v>
      </c>
    </row>
    <row r="166" spans="1:25" ht="63.75" customHeight="1" x14ac:dyDescent="0.3">
      <c r="A166" s="610">
        <f>'Unit Data from Audit Worksheet'!A185</f>
        <v>538</v>
      </c>
      <c r="B166" s="351" t="str">
        <f>'Unit Data from Audit Worksheet'!C185</f>
        <v>Water Sewer Revenue, Expenses &amp; Changes in Fund Net Position</v>
      </c>
      <c r="C166" s="336" t="str">
        <f>'Unit Data from Audit Worksheet'!D185</f>
        <v>Did unit raise Water Sewer rates during the budget year following the audited fiscal year? - answer Yes or No</v>
      </c>
      <c r="D166" s="139"/>
      <c r="E166" s="357">
        <f>'Unit Data from Audit Worksheet'!F185</f>
        <v>0</v>
      </c>
      <c r="F166" s="350" t="s">
        <v>555</v>
      </c>
      <c r="G166" s="352"/>
      <c r="H166" s="349">
        <f>'Unit Data from Audit Worksheet'!I185</f>
        <v>0</v>
      </c>
      <c r="I166" s="38"/>
      <c r="J166" s="67">
        <v>538</v>
      </c>
      <c r="K166" s="65" t="s">
        <v>293</v>
      </c>
      <c r="L166" s="611">
        <f>IF(E166="Yes",1,IF(E166="No",2,0))</f>
        <v>0</v>
      </c>
      <c r="N166" s="61" t="s">
        <v>545</v>
      </c>
      <c r="P166" s="324"/>
      <c r="W166" s="3" t="b">
        <f t="shared" si="19"/>
        <v>1</v>
      </c>
      <c r="X166" s="582">
        <f t="shared" si="12"/>
        <v>0</v>
      </c>
      <c r="Y166" s="582">
        <f t="shared" si="13"/>
        <v>0</v>
      </c>
    </row>
    <row r="167" spans="1:25" ht="47.25" customHeight="1" x14ac:dyDescent="0.3">
      <c r="A167" s="337">
        <f>'Unit Data from Audit Worksheet'!A187</f>
        <v>97</v>
      </c>
      <c r="B167" s="351" t="str">
        <f>'Unit Data from Audit Worksheet'!C187</f>
        <v>Electric Fund Revenue, Expenses &amp; Changes in Fund Net Position</v>
      </c>
      <c r="C167" s="336" t="str">
        <f>'Unit Data from Audit Worksheet'!D187</f>
        <v>Charges for services</v>
      </c>
      <c r="D167" s="356"/>
      <c r="E167" s="357">
        <f>'Unit Data from Audit Worksheet'!F187</f>
        <v>0</v>
      </c>
      <c r="F167" s="350">
        <f>IF(L167&lt;0,"Error: Enter as a positive.",)</f>
        <v>0</v>
      </c>
      <c r="G167" s="352"/>
      <c r="H167" s="349">
        <f>'Unit Data from Audit Worksheet'!I187</f>
        <v>0</v>
      </c>
      <c r="I167" s="38"/>
      <c r="J167" s="348">
        <v>97</v>
      </c>
      <c r="K167" s="347" t="s">
        <v>236</v>
      </c>
      <c r="L167" s="585">
        <f t="shared" ref="L167:L234" si="20">IF(D167="",E167,D167)</f>
        <v>0</v>
      </c>
      <c r="P167" s="319"/>
      <c r="W167" s="3" t="b">
        <f t="shared" si="19"/>
        <v>1</v>
      </c>
      <c r="X167" s="582">
        <f t="shared" si="12"/>
        <v>0</v>
      </c>
      <c r="Y167" s="582">
        <f t="shared" si="13"/>
        <v>0</v>
      </c>
    </row>
    <row r="168" spans="1:25" ht="45.75" customHeight="1" x14ac:dyDescent="0.3">
      <c r="A168" s="337">
        <f>'Unit Data from Audit Worksheet'!A188</f>
        <v>93</v>
      </c>
      <c r="B168" s="351" t="str">
        <f>'Unit Data from Audit Worksheet'!C188</f>
        <v>Electric Fund Revenue, Expenses &amp; Changes in Fund Net Position</v>
      </c>
      <c r="C168" s="336" t="str">
        <f>'Unit Data from Audit Worksheet'!D188</f>
        <v>Total Operating revenues</v>
      </c>
      <c r="D168" s="356"/>
      <c r="E168" s="357">
        <f>'Unit Data from Audit Worksheet'!F188</f>
        <v>0</v>
      </c>
      <c r="F168" s="350" t="str">
        <f>IF(L167&gt;L168,"Error: Charges for services exceeds total operating revenues Acct 97&gt;=93"," ")</f>
        <v xml:space="preserve"> </v>
      </c>
      <c r="G168" s="352" t="str">
        <f>IF(Q168=1," Included in error count"," ")</f>
        <v xml:space="preserve"> </v>
      </c>
      <c r="H168" s="349">
        <f>'Unit Data from Audit Worksheet'!I188</f>
        <v>0</v>
      </c>
      <c r="I168" s="38"/>
      <c r="J168" s="348">
        <v>93</v>
      </c>
      <c r="K168" s="347" t="s">
        <v>237</v>
      </c>
      <c r="L168" s="585">
        <f t="shared" si="20"/>
        <v>0</v>
      </c>
      <c r="P168" s="319"/>
      <c r="Q168" s="575">
        <f>IF(L167&gt;L168,1,0)</f>
        <v>0</v>
      </c>
      <c r="W168" s="3" t="b">
        <f t="shared" si="19"/>
        <v>1</v>
      </c>
      <c r="X168" s="582">
        <f t="shared" si="12"/>
        <v>0</v>
      </c>
      <c r="Y168" s="582">
        <f t="shared" si="13"/>
        <v>0</v>
      </c>
    </row>
    <row r="169" spans="1:25" ht="45.75" customHeight="1" x14ac:dyDescent="0.3">
      <c r="A169" s="337">
        <f>'Unit Data from Audit Worksheet'!A189</f>
        <v>99</v>
      </c>
      <c r="B169" s="351" t="str">
        <f>'Unit Data from Audit Worksheet'!C189</f>
        <v>Electric Fund Revenue, Expenses &amp; Changes in Fund Net Position</v>
      </c>
      <c r="C169" s="336" t="str">
        <f>'Unit Data from Audit Worksheet'!D189</f>
        <v>Electrical power purchases</v>
      </c>
      <c r="D169" s="356"/>
      <c r="E169" s="357">
        <f>'Unit Data from Audit Worksheet'!F189</f>
        <v>0</v>
      </c>
      <c r="F169" s="350">
        <f>IF(L169&lt;0,"Error: Enter as a positive.",)</f>
        <v>0</v>
      </c>
      <c r="G169" s="352"/>
      <c r="H169" s="349">
        <f>'Unit Data from Audit Worksheet'!I189</f>
        <v>0</v>
      </c>
      <c r="I169" s="38"/>
      <c r="J169" s="348">
        <v>99</v>
      </c>
      <c r="K169" s="347" t="s">
        <v>238</v>
      </c>
      <c r="L169" s="585">
        <f t="shared" si="20"/>
        <v>0</v>
      </c>
      <c r="P169" s="319"/>
      <c r="W169" s="3" t="b">
        <f t="shared" si="19"/>
        <v>1</v>
      </c>
      <c r="X169" s="582">
        <f t="shared" si="12"/>
        <v>0</v>
      </c>
      <c r="Y169" s="582">
        <f t="shared" si="13"/>
        <v>0</v>
      </c>
    </row>
    <row r="170" spans="1:25" ht="45.75" customHeight="1" x14ac:dyDescent="0.3">
      <c r="A170" s="337">
        <f>'Unit Data from Audit Worksheet'!A190</f>
        <v>52</v>
      </c>
      <c r="B170" s="351" t="str">
        <f>'Unit Data from Audit Worksheet'!C190</f>
        <v>Electric Fund Revenue, Expenses &amp; Changes in Fund Net Position</v>
      </c>
      <c r="C170" s="336" t="str">
        <f>'Unit Data from Audit Worksheet'!D190</f>
        <v>Depreciation and amortization expense</v>
      </c>
      <c r="D170" s="356"/>
      <c r="E170" s="357">
        <f>'Unit Data from Audit Worksheet'!F190</f>
        <v>0</v>
      </c>
      <c r="F170" s="350">
        <f>IF(L170&lt;0,"Error: Enter as a positive.",)</f>
        <v>0</v>
      </c>
      <c r="G170" s="352"/>
      <c r="H170" s="349">
        <f>'Unit Data from Audit Worksheet'!I190</f>
        <v>0</v>
      </c>
      <c r="I170" s="38"/>
      <c r="J170" s="348">
        <v>52</v>
      </c>
      <c r="K170" s="347" t="s">
        <v>239</v>
      </c>
      <c r="L170" s="585">
        <f t="shared" si="20"/>
        <v>0</v>
      </c>
      <c r="P170" s="319"/>
      <c r="W170" s="3" t="b">
        <f t="shared" si="19"/>
        <v>1</v>
      </c>
      <c r="X170" s="582">
        <f t="shared" si="12"/>
        <v>0</v>
      </c>
      <c r="Y170" s="582">
        <f t="shared" si="13"/>
        <v>0</v>
      </c>
    </row>
    <row r="171" spans="1:25" ht="45.75" customHeight="1" x14ac:dyDescent="0.3">
      <c r="A171" s="337">
        <f>'Unit Data from Audit Worksheet'!A191</f>
        <v>94</v>
      </c>
      <c r="B171" s="351" t="str">
        <f>'Unit Data from Audit Worksheet'!C191</f>
        <v>Electric Fund Revenue, Expenses &amp; Changes in Fund Net Position</v>
      </c>
      <c r="C171" s="336" t="str">
        <f>'Unit Data from Audit Worksheet'!D191</f>
        <v>Total Operating expenses</v>
      </c>
      <c r="D171" s="356"/>
      <c r="E171" s="357">
        <f>'Unit Data from Audit Worksheet'!F191</f>
        <v>0</v>
      </c>
      <c r="F171" s="350">
        <f>IF(L171&lt;0,"Error: Enter as a positive.",)</f>
        <v>0</v>
      </c>
      <c r="G171" s="352"/>
      <c r="H171" s="349">
        <f>'Unit Data from Audit Worksheet'!I191</f>
        <v>0</v>
      </c>
      <c r="I171" s="38"/>
      <c r="J171" s="348">
        <v>94</v>
      </c>
      <c r="K171" s="347" t="s">
        <v>240</v>
      </c>
      <c r="L171" s="585">
        <f t="shared" si="20"/>
        <v>0</v>
      </c>
      <c r="P171" s="319"/>
      <c r="W171" s="3" t="b">
        <f t="shared" si="19"/>
        <v>1</v>
      </c>
      <c r="X171" s="582">
        <f t="shared" si="12"/>
        <v>0</v>
      </c>
      <c r="Y171" s="582">
        <f t="shared" si="13"/>
        <v>0</v>
      </c>
    </row>
    <row r="172" spans="1:25" ht="46.5" customHeight="1" x14ac:dyDescent="0.3">
      <c r="A172" s="337">
        <f>'Unit Data from Audit Worksheet'!A192</f>
        <v>98</v>
      </c>
      <c r="B172" s="351" t="str">
        <f>'Unit Data from Audit Worksheet'!C192</f>
        <v>Electric Fund Revenue, Expenses &amp; Changes in Fund Net Position</v>
      </c>
      <c r="C172" s="336" t="str">
        <f>'Unit Data from Audit Worksheet'!D192</f>
        <v>Interest expense</v>
      </c>
      <c r="D172" s="356"/>
      <c r="E172" s="357">
        <f>'Unit Data from Audit Worksheet'!F192</f>
        <v>0</v>
      </c>
      <c r="F172" s="350">
        <f>IF(L172&lt;0,"Error: Enter as a positive.",)</f>
        <v>0</v>
      </c>
      <c r="G172" s="352"/>
      <c r="H172" s="349">
        <f>'Unit Data from Audit Worksheet'!I192</f>
        <v>0</v>
      </c>
      <c r="I172" s="38"/>
      <c r="J172" s="348">
        <v>98</v>
      </c>
      <c r="K172" s="347" t="s">
        <v>241</v>
      </c>
      <c r="L172" s="585">
        <f t="shared" si="20"/>
        <v>0</v>
      </c>
      <c r="P172" s="319"/>
      <c r="W172" s="3" t="b">
        <f t="shared" si="19"/>
        <v>1</v>
      </c>
      <c r="X172" s="582">
        <f t="shared" si="12"/>
        <v>0</v>
      </c>
      <c r="Y172" s="582">
        <f t="shared" si="13"/>
        <v>0</v>
      </c>
    </row>
    <row r="173" spans="1:25" ht="51" customHeight="1" x14ac:dyDescent="0.3">
      <c r="A173" s="337">
        <f>'Unit Data from Audit Worksheet'!A193</f>
        <v>363</v>
      </c>
      <c r="B173" s="351" t="str">
        <f>'Unit Data from Audit Worksheet'!C193</f>
        <v>Electric Fund Revenue, Expenses &amp; Changes in Fund Net Position</v>
      </c>
      <c r="C173" s="336" t="str">
        <f>'Unit Data from Audit Worksheet'!D193</f>
        <v>Total all the non-operating revenues  
Exclude Capital Contributions.</v>
      </c>
      <c r="D173" s="356"/>
      <c r="E173" s="357">
        <f>'Unit Data from Audit Worksheet'!F193</f>
        <v>0</v>
      </c>
      <c r="F173" s="350"/>
      <c r="G173" s="352"/>
      <c r="H173" s="349">
        <f>'Unit Data from Audit Worksheet'!I193</f>
        <v>0</v>
      </c>
      <c r="I173" s="38"/>
      <c r="J173" s="348">
        <v>363</v>
      </c>
      <c r="K173" s="347" t="s">
        <v>242</v>
      </c>
      <c r="L173" s="585">
        <f t="shared" si="20"/>
        <v>0</v>
      </c>
      <c r="P173" s="319"/>
      <c r="W173" s="3" t="b">
        <f t="shared" si="19"/>
        <v>1</v>
      </c>
      <c r="X173" s="582">
        <f t="shared" si="12"/>
        <v>0</v>
      </c>
      <c r="Y173" s="582">
        <f t="shared" si="13"/>
        <v>0</v>
      </c>
    </row>
    <row r="174" spans="1:25" ht="60" customHeight="1" x14ac:dyDescent="0.3">
      <c r="A174" s="337">
        <f>'Unit Data from Audit Worksheet'!A194</f>
        <v>364</v>
      </c>
      <c r="B174" s="351" t="str">
        <f>'Unit Data from Audit Worksheet'!C194</f>
        <v>Electric Fund Revenue, Expenses &amp; Changes in Fund Net Position</v>
      </c>
      <c r="C174" s="336" t="str">
        <f>'Unit Data from Audit Worksheet'!D194</f>
        <v>Total all non-operating expenses.  
Include negative special, extraordinary, or capital contribution.</v>
      </c>
      <c r="D174" s="356"/>
      <c r="E174" s="357">
        <f>'Unit Data from Audit Worksheet'!F194</f>
        <v>0</v>
      </c>
      <c r="F174" s="350">
        <f>IF(L174&lt;0,"Error: Enter as a positive.",)</f>
        <v>0</v>
      </c>
      <c r="G174" s="352"/>
      <c r="H174" s="349">
        <f>'Unit Data from Audit Worksheet'!I194</f>
        <v>0</v>
      </c>
      <c r="I174" s="38"/>
      <c r="J174" s="348">
        <v>364</v>
      </c>
      <c r="K174" s="347" t="s">
        <v>243</v>
      </c>
      <c r="L174" s="585">
        <f t="shared" si="20"/>
        <v>0</v>
      </c>
      <c r="P174" s="319"/>
      <c r="W174" s="3" t="b">
        <f t="shared" si="19"/>
        <v>1</v>
      </c>
      <c r="X174" s="582">
        <f t="shared" si="12"/>
        <v>0</v>
      </c>
      <c r="Y174" s="582">
        <f t="shared" si="13"/>
        <v>0</v>
      </c>
    </row>
    <row r="175" spans="1:25" ht="89.25" customHeight="1" x14ac:dyDescent="0.3">
      <c r="A175" s="337">
        <f>'Unit Data from Audit Worksheet'!A195</f>
        <v>192</v>
      </c>
      <c r="B175" s="351" t="str">
        <f>'Unit Data from Audit Worksheet'!C195</f>
        <v>Electric Fund Revenue, Expenses &amp; Changes in Fund Net Position</v>
      </c>
      <c r="C175" s="336" t="str">
        <f>'Unit Data from Audit Worksheet'!D195</f>
        <v>Capital Contributions.  
Include only positive capital Contributions.  Negative capital contributions should be included with 'Total all non-operating expenses.'</v>
      </c>
      <c r="D175" s="356"/>
      <c r="E175" s="357">
        <f>'Unit Data from Audit Worksheet'!F195</f>
        <v>0</v>
      </c>
      <c r="F175" s="350">
        <f>IF(L175&lt;0,"Error: Enter as a positive.",)</f>
        <v>0</v>
      </c>
      <c r="G175" s="352"/>
      <c r="H175" s="349">
        <f>'Unit Data from Audit Worksheet'!I195</f>
        <v>0</v>
      </c>
      <c r="I175" s="38"/>
      <c r="J175" s="348">
        <v>192</v>
      </c>
      <c r="K175" s="347" t="s">
        <v>244</v>
      </c>
      <c r="L175" s="585">
        <f t="shared" si="20"/>
        <v>0</v>
      </c>
      <c r="P175" s="319"/>
      <c r="W175" s="3" t="b">
        <f t="shared" si="19"/>
        <v>1</v>
      </c>
      <c r="X175" s="582">
        <f t="shared" si="12"/>
        <v>0</v>
      </c>
      <c r="Y175" s="582">
        <f t="shared" si="13"/>
        <v>0</v>
      </c>
    </row>
    <row r="176" spans="1:25" ht="42.75" customHeight="1" x14ac:dyDescent="0.3">
      <c r="A176" s="337">
        <f>'Unit Data from Audit Worksheet'!A196</f>
        <v>365</v>
      </c>
      <c r="B176" s="351" t="str">
        <f>'Unit Data from Audit Worksheet'!C196</f>
        <v>Electric Fund Revenue, Expenses &amp; Changes in Fund Net Position</v>
      </c>
      <c r="C176" s="336" t="str">
        <f>'Unit Data from Audit Worksheet'!D196</f>
        <v>Total Transfers In (From all Funds)</v>
      </c>
      <c r="D176" s="356"/>
      <c r="E176" s="357">
        <f>'Unit Data from Audit Worksheet'!F196</f>
        <v>0</v>
      </c>
      <c r="F176" s="350"/>
      <c r="G176" s="352"/>
      <c r="H176" s="349">
        <f>'Unit Data from Audit Worksheet'!I196</f>
        <v>0</v>
      </c>
      <c r="I176" s="38"/>
      <c r="J176" s="348">
        <v>365</v>
      </c>
      <c r="K176" s="347" t="s">
        <v>245</v>
      </c>
      <c r="L176" s="585">
        <f t="shared" si="20"/>
        <v>0</v>
      </c>
      <c r="P176" s="319"/>
      <c r="W176" s="3" t="b">
        <f t="shared" si="19"/>
        <v>1</v>
      </c>
      <c r="X176" s="582">
        <f t="shared" si="12"/>
        <v>0</v>
      </c>
      <c r="Y176" s="582">
        <f t="shared" si="13"/>
        <v>0</v>
      </c>
    </row>
    <row r="177" spans="1:25" ht="42.75" customHeight="1" x14ac:dyDescent="0.3">
      <c r="A177" s="337">
        <f>'Unit Data from Audit Worksheet'!A197</f>
        <v>366</v>
      </c>
      <c r="B177" s="351" t="str">
        <f>'Unit Data from Audit Worksheet'!C197</f>
        <v>Electric Fund Revenue, Expenses &amp; Changes in Fund Net Position</v>
      </c>
      <c r="C177" s="336" t="str">
        <f>'Unit Data from Audit Worksheet'!D197</f>
        <v>Total Transfers Out (To all funds)</v>
      </c>
      <c r="D177" s="356"/>
      <c r="E177" s="357">
        <f>'Unit Data from Audit Worksheet'!F197</f>
        <v>0</v>
      </c>
      <c r="F177" s="350">
        <f>IF(L177&lt;0,"Error: Enter as a positive.",)</f>
        <v>0</v>
      </c>
      <c r="G177" s="352"/>
      <c r="H177" s="349">
        <f>'Unit Data from Audit Worksheet'!I197</f>
        <v>0</v>
      </c>
      <c r="I177" s="38"/>
      <c r="J177" s="348">
        <v>366</v>
      </c>
      <c r="K177" s="347" t="s">
        <v>535</v>
      </c>
      <c r="L177" s="585">
        <f t="shared" si="20"/>
        <v>0</v>
      </c>
      <c r="P177" s="319"/>
      <c r="W177" s="3" t="b">
        <f t="shared" si="19"/>
        <v>1</v>
      </c>
      <c r="X177" s="582">
        <f t="shared" si="12"/>
        <v>0</v>
      </c>
      <c r="Y177" s="582">
        <f t="shared" si="13"/>
        <v>0</v>
      </c>
    </row>
    <row r="178" spans="1:25" s="18" customFormat="1" ht="76.5" customHeight="1" x14ac:dyDescent="0.3">
      <c r="A178" s="337">
        <f>'Unit Data from Audit Worksheet'!A198</f>
        <v>53</v>
      </c>
      <c r="B178" s="351" t="str">
        <f>'Unit Data from Audit Worksheet'!C198</f>
        <v>Electric Fund Revenue, Expenses &amp; Changes in Fund Net Position</v>
      </c>
      <c r="C178" s="336" t="str">
        <f>'Unit Data from Audit Worksheet'!D198</f>
        <v>Change in net position - Increase in net position is recorded as a positive and a (decrease) in net position is recorded as a negative.</v>
      </c>
      <c r="D178" s="356"/>
      <c r="E178" s="357">
        <f>'Unit Data from Audit Worksheet'!F198</f>
        <v>0</v>
      </c>
      <c r="F178" s="350">
        <f>IF(L168-L171+L173-L174+L175+L176-L177-L178=0,,"Error: Total revenues less total exp. does not equal change in net position Acct 93-94+363-364+192+365-366-53=0")</f>
        <v>0</v>
      </c>
      <c r="G178" s="91">
        <f>+L168-L171+L173-L174+L175+L176-L177-L178</f>
        <v>0</v>
      </c>
      <c r="H178" s="349">
        <f>'Unit Data from Audit Worksheet'!I198</f>
        <v>0</v>
      </c>
      <c r="I178" s="38"/>
      <c r="J178" s="348">
        <v>53</v>
      </c>
      <c r="K178" s="347" t="s">
        <v>101</v>
      </c>
      <c r="L178" s="585">
        <f t="shared" si="20"/>
        <v>0</v>
      </c>
      <c r="P178" s="319"/>
      <c r="Q178" s="575">
        <f>IF(G178&lt;&gt;0,1,0)</f>
        <v>0</v>
      </c>
      <c r="R178" s="3"/>
      <c r="W178" s="3" t="b">
        <f t="shared" si="19"/>
        <v>1</v>
      </c>
      <c r="X178" s="582">
        <f t="shared" si="12"/>
        <v>0</v>
      </c>
      <c r="Y178" s="582">
        <f t="shared" si="13"/>
        <v>0</v>
      </c>
    </row>
    <row r="179" spans="1:25" ht="140.25" customHeight="1" x14ac:dyDescent="0.3">
      <c r="A179" s="337">
        <f>'Unit Data from Audit Worksheet'!A199</f>
        <v>378</v>
      </c>
      <c r="B179" s="351" t="str">
        <f>'Unit Data from Audit Worksheet'!C199</f>
        <v>Electric Fund Revenue, Expenses &amp; Changes in Fund Net Position</v>
      </c>
      <c r="C179" s="336"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6"/>
      <c r="E179" s="357">
        <f>+'Unit Data from Audit Worksheet'!F199</f>
        <v>0</v>
      </c>
      <c r="F179" s="350" t="e">
        <f>IF(L151-L178-L179=O151,,"Error: Beg. Bal does not agree with our records Acct 362-53-378= pr yr 362")</f>
        <v>#N/A</v>
      </c>
      <c r="G179" s="91" t="e">
        <f>L151-L178-L179-O151</f>
        <v>#N/A</v>
      </c>
      <c r="H179" s="349" t="str">
        <f>'Unit Data from Audit Worksheet'!I199</f>
        <v>Please do not enter prior's years beginning balance as an adjustment in column F.</v>
      </c>
      <c r="I179" s="38"/>
      <c r="J179" s="348">
        <v>378</v>
      </c>
      <c r="K179" s="347" t="s">
        <v>110</v>
      </c>
      <c r="L179" s="585">
        <f t="shared" si="20"/>
        <v>0</v>
      </c>
      <c r="P179" s="319"/>
      <c r="Q179" s="575" t="e">
        <f>IF(G179&lt;&gt;0,1,0)</f>
        <v>#N/A</v>
      </c>
      <c r="W179" s="3" t="b">
        <f t="shared" si="19"/>
        <v>1</v>
      </c>
      <c r="X179" s="582">
        <f t="shared" si="12"/>
        <v>0</v>
      </c>
      <c r="Y179" s="582">
        <f t="shared" si="13"/>
        <v>0</v>
      </c>
    </row>
    <row r="180" spans="1:25" ht="28.8" x14ac:dyDescent="0.3">
      <c r="A180" s="337">
        <f>'Unit Data from Audit Worksheet'!A204</f>
        <v>51</v>
      </c>
      <c r="B180" s="351" t="str">
        <f>'Unit Data from Audit Worksheet'!C204</f>
        <v>Water Sewer Cash Flow Statement</v>
      </c>
      <c r="C180" s="336" t="str">
        <f>'Unit Data from Audit Worksheet'!D204</f>
        <v>Total Cash flow from operating activities  - (Enter negative cash flows as negative)</v>
      </c>
      <c r="D180" s="356"/>
      <c r="E180" s="357">
        <f>'Unit Data from Audit Worksheet'!F204</f>
        <v>0</v>
      </c>
      <c r="F180" s="350"/>
      <c r="G180" s="352"/>
      <c r="H180" s="349">
        <f>'Unit Data from Audit Worksheet'!I204</f>
        <v>0</v>
      </c>
      <c r="I180" s="38"/>
      <c r="J180" s="348">
        <v>51</v>
      </c>
      <c r="K180" s="347" t="s">
        <v>246</v>
      </c>
      <c r="L180" s="585">
        <f t="shared" si="20"/>
        <v>0</v>
      </c>
      <c r="P180" s="319"/>
      <c r="W180" s="3" t="b">
        <f t="shared" si="19"/>
        <v>1</v>
      </c>
      <c r="X180" s="582">
        <f t="shared" si="12"/>
        <v>0</v>
      </c>
      <c r="Y180" s="582">
        <f t="shared" si="13"/>
        <v>0</v>
      </c>
    </row>
    <row r="181" spans="1:25" ht="64.5" customHeight="1" x14ac:dyDescent="0.3">
      <c r="A181" s="337">
        <f>'Unit Data from Audit Worksheet'!A205</f>
        <v>332</v>
      </c>
      <c r="B181" s="351" t="str">
        <f>'Unit Data from Audit Worksheet'!C205</f>
        <v>Water Sewer Cash Flow Statement</v>
      </c>
      <c r="C181" s="336" t="str">
        <f>'Unit Data from Audit Worksheet'!D205</f>
        <v>Total Capital outlay. 
Include acquisition and construction of capital assets.</v>
      </c>
      <c r="D181" s="356"/>
      <c r="E181" s="357">
        <f>'Unit Data from Audit Worksheet'!F205</f>
        <v>0</v>
      </c>
      <c r="F181" s="350">
        <f>IF(L181&lt;0,"Error: Enter as a positive.",)</f>
        <v>0</v>
      </c>
      <c r="G181" s="352"/>
      <c r="H181" s="349">
        <f>'Unit Data from Audit Worksheet'!I205</f>
        <v>0</v>
      </c>
      <c r="I181" s="38"/>
      <c r="J181" s="348">
        <v>332</v>
      </c>
      <c r="K181" s="347" t="s">
        <v>248</v>
      </c>
      <c r="L181" s="585">
        <f t="shared" si="20"/>
        <v>0</v>
      </c>
      <c r="O181" s="593"/>
      <c r="P181" s="319"/>
      <c r="W181" s="3" t="b">
        <f t="shared" si="19"/>
        <v>1</v>
      </c>
      <c r="X181" s="582">
        <f t="shared" si="12"/>
        <v>0</v>
      </c>
      <c r="Y181" s="582">
        <f t="shared" si="13"/>
        <v>0</v>
      </c>
    </row>
    <row r="182" spans="1:25" ht="58.5" customHeight="1" x14ac:dyDescent="0.3">
      <c r="A182" s="337">
        <f>'Unit Data from Audit Worksheet'!A206</f>
        <v>331</v>
      </c>
      <c r="B182" s="351" t="str">
        <f>'Unit Data from Audit Worksheet'!C206</f>
        <v>Water Sewer Cash Flow Statement</v>
      </c>
      <c r="C182" s="336" t="str">
        <f>'Unit Data from Audit Worksheet'!D206</f>
        <v>Principal paid on long-term debt.  Amount should be reduced by principal payments for debt refunding.</v>
      </c>
      <c r="D182" s="356"/>
      <c r="E182" s="357">
        <f>'Unit Data from Audit Worksheet'!F206</f>
        <v>0</v>
      </c>
      <c r="F182" s="350">
        <f>IF(L182&lt;0,"Error: Enter as a positive.",)</f>
        <v>0</v>
      </c>
      <c r="G182" s="352"/>
      <c r="H182" s="349">
        <f>'Unit Data from Audit Worksheet'!I206</f>
        <v>0</v>
      </c>
      <c r="I182" s="38"/>
      <c r="J182" s="348">
        <v>331</v>
      </c>
      <c r="K182" s="347" t="s">
        <v>247</v>
      </c>
      <c r="L182" s="585">
        <f t="shared" si="20"/>
        <v>0</v>
      </c>
      <c r="O182" s="593"/>
      <c r="P182" s="319"/>
      <c r="W182" s="3" t="b">
        <f t="shared" si="19"/>
        <v>1</v>
      </c>
      <c r="X182" s="582">
        <f t="shared" ref="X182:X276" si="21">E182-L182</f>
        <v>0</v>
      </c>
      <c r="Y182" s="582">
        <f t="shared" ref="Y182:Y276" si="22">D182-L182</f>
        <v>0</v>
      </c>
    </row>
    <row r="183" spans="1:25" ht="51.75" customHeight="1" x14ac:dyDescent="0.3">
      <c r="A183" s="337">
        <f>'Unit Data from Audit Worksheet'!A208</f>
        <v>55</v>
      </c>
      <c r="B183" s="351" t="str">
        <f>'Unit Data from Audit Worksheet'!C208</f>
        <v>Electric Fund Cash Flow Statement</v>
      </c>
      <c r="C183" s="336" t="str">
        <f>'Unit Data from Audit Worksheet'!D208</f>
        <v>Cash flow from operating activities - (enter negative cash flows as negative)</v>
      </c>
      <c r="D183" s="356"/>
      <c r="E183" s="357">
        <f>'Unit Data from Audit Worksheet'!F208</f>
        <v>0</v>
      </c>
      <c r="F183" s="350"/>
      <c r="G183" s="352"/>
      <c r="H183" s="349">
        <f>'Unit Data from Audit Worksheet'!I208</f>
        <v>0</v>
      </c>
      <c r="I183" s="38"/>
      <c r="J183" s="348">
        <v>55</v>
      </c>
      <c r="K183" s="347" t="s">
        <v>249</v>
      </c>
      <c r="L183" s="585">
        <f t="shared" si="20"/>
        <v>0</v>
      </c>
      <c r="P183" s="319"/>
      <c r="W183" s="3" t="b">
        <f t="shared" si="19"/>
        <v>1</v>
      </c>
      <c r="X183" s="582">
        <f t="shared" si="21"/>
        <v>0</v>
      </c>
      <c r="Y183" s="582">
        <f t="shared" si="22"/>
        <v>0</v>
      </c>
    </row>
    <row r="184" spans="1:25" ht="58.5" customHeight="1" x14ac:dyDescent="0.3">
      <c r="A184" s="337">
        <f>'Unit Data from Audit Worksheet'!A209</f>
        <v>101</v>
      </c>
      <c r="B184" s="351" t="str">
        <f>'Unit Data from Audit Worksheet'!C209</f>
        <v>Electric Fund Cash Flow Statement</v>
      </c>
      <c r="C184" s="336" t="str">
        <f>'Unit Data from Audit Worksheet'!D209</f>
        <v>Total Capital outlay.  
Include acquisition and construction of capital assets.</v>
      </c>
      <c r="D184" s="356"/>
      <c r="E184" s="357">
        <f>'Unit Data from Audit Worksheet'!F209</f>
        <v>0</v>
      </c>
      <c r="F184" s="350">
        <f>IF(L184&lt;0,"Error: Enter as a positive.",)</f>
        <v>0</v>
      </c>
      <c r="G184" s="352"/>
      <c r="H184" s="349">
        <f>'Unit Data from Audit Worksheet'!I209</f>
        <v>0</v>
      </c>
      <c r="I184" s="38"/>
      <c r="J184" s="348">
        <v>101</v>
      </c>
      <c r="K184" s="347" t="s">
        <v>250</v>
      </c>
      <c r="L184" s="585">
        <f t="shared" si="20"/>
        <v>0</v>
      </c>
      <c r="P184" s="319"/>
      <c r="W184" s="3" t="b">
        <f t="shared" si="19"/>
        <v>1</v>
      </c>
      <c r="X184" s="582">
        <f t="shared" si="21"/>
        <v>0</v>
      </c>
      <c r="Y184" s="582">
        <f t="shared" si="22"/>
        <v>0</v>
      </c>
    </row>
    <row r="185" spans="1:25" ht="60.75" customHeight="1" x14ac:dyDescent="0.3">
      <c r="A185" s="337">
        <f>'Unit Data from Audit Worksheet'!A210</f>
        <v>100</v>
      </c>
      <c r="B185" s="351" t="str">
        <f>'Unit Data from Audit Worksheet'!C210</f>
        <v>Electric Fund Cash Flow Statement</v>
      </c>
      <c r="C185" s="336" t="str">
        <f>'Unit Data from Audit Worksheet'!D210</f>
        <v>Principal paid on long-term debt.  Amount should be reduced by principal payments for debt refunding.</v>
      </c>
      <c r="D185" s="356"/>
      <c r="E185" s="357">
        <f>'Unit Data from Audit Worksheet'!F210</f>
        <v>0</v>
      </c>
      <c r="F185" s="350">
        <f>IF(L185&lt;0,"Error: Enter as a positive.",)</f>
        <v>0</v>
      </c>
      <c r="G185" s="352"/>
      <c r="H185" s="349">
        <f>'Unit Data from Audit Worksheet'!I210</f>
        <v>0</v>
      </c>
      <c r="I185" s="38"/>
      <c r="J185" s="348">
        <v>100</v>
      </c>
      <c r="K185" s="347" t="s">
        <v>251</v>
      </c>
      <c r="L185" s="585">
        <f t="shared" si="20"/>
        <v>0</v>
      </c>
      <c r="P185" s="319"/>
      <c r="W185" s="3" t="b">
        <f t="shared" si="19"/>
        <v>1</v>
      </c>
      <c r="X185" s="582">
        <f t="shared" si="21"/>
        <v>0</v>
      </c>
      <c r="Y185" s="582">
        <f t="shared" si="22"/>
        <v>0</v>
      </c>
    </row>
    <row r="186" spans="1:25" ht="71.25" customHeight="1" x14ac:dyDescent="0.3">
      <c r="A186" s="337">
        <f>'Unit Data from Audit Worksheet'!A212</f>
        <v>512</v>
      </c>
      <c r="B186" s="351" t="str">
        <f>'Unit Data from Audit Worksheet'!C212</f>
        <v>Fiduciary Statements</v>
      </c>
      <c r="C186" s="336" t="str">
        <f>'Unit Data from Audit Worksheet'!D212</f>
        <v>Cash and investments.  
Include:  unrestricted and restricted.  
                   cash and investments held 
                   by a third party</v>
      </c>
      <c r="D186" s="356"/>
      <c r="E186" s="357">
        <f>'Unit Data from Audit Worksheet'!F212</f>
        <v>0</v>
      </c>
      <c r="F186" s="350">
        <f>IF(L186&lt;0,"Error: Number is normally positive.",)</f>
        <v>0</v>
      </c>
      <c r="G186" s="352"/>
      <c r="H186" s="349">
        <f>'Unit Data from Audit Worksheet'!I212</f>
        <v>0</v>
      </c>
      <c r="I186" s="38"/>
      <c r="J186" s="348">
        <v>512</v>
      </c>
      <c r="K186" s="347" t="s">
        <v>252</v>
      </c>
      <c r="L186" s="585">
        <f t="shared" si="20"/>
        <v>0</v>
      </c>
      <c r="P186" s="319"/>
      <c r="W186" s="3" t="b">
        <f t="shared" si="19"/>
        <v>1</v>
      </c>
      <c r="X186" s="582">
        <f t="shared" si="21"/>
        <v>0</v>
      </c>
      <c r="Y186" s="582">
        <f t="shared" si="22"/>
        <v>0</v>
      </c>
    </row>
    <row r="187" spans="1:25" ht="62.25" customHeight="1" x14ac:dyDescent="0.3">
      <c r="A187" s="337">
        <f>'Unit Data from Audit Worksheet'!A214</f>
        <v>656</v>
      </c>
      <c r="B187" s="351">
        <f>'Unit Data from Audit Worksheet'!C214</f>
        <v>0</v>
      </c>
      <c r="C187" s="336" t="str">
        <f>'Unit Data from Audit Worksheet'!D214</f>
        <v>Do you use prepared food/occupancy tax revenue stream to support debt?  Select "1" for Yes and "2" for No</v>
      </c>
      <c r="D187" s="139"/>
      <c r="E187" s="357">
        <f>'Unit Data from Audit Worksheet'!F214</f>
        <v>0</v>
      </c>
      <c r="F187" s="350"/>
      <c r="G187" s="352"/>
      <c r="H187" s="349"/>
      <c r="I187" s="38"/>
      <c r="J187" s="348">
        <v>656</v>
      </c>
      <c r="K187" s="354" t="s">
        <v>814</v>
      </c>
      <c r="L187" s="611">
        <f>E187</f>
        <v>0</v>
      </c>
      <c r="M187" s="18"/>
      <c r="N187" s="18"/>
      <c r="O187" s="18"/>
      <c r="P187" s="319"/>
      <c r="W187" s="3" t="b">
        <f t="shared" si="19"/>
        <v>1</v>
      </c>
      <c r="X187" s="582">
        <f t="shared" si="21"/>
        <v>0</v>
      </c>
      <c r="Y187" s="582">
        <f t="shared" si="22"/>
        <v>0</v>
      </c>
    </row>
    <row r="188" spans="1:25" s="18" customFormat="1" ht="102.75" customHeight="1" x14ac:dyDescent="0.3">
      <c r="A188" s="337">
        <f>'Unit Data from Audit Worksheet'!A216</f>
        <v>535</v>
      </c>
      <c r="B188" s="351" t="str">
        <f>'Unit Data from Audit Worksheet'!C216</f>
        <v>Cash and Investment Note</v>
      </c>
      <c r="C188" s="336" t="str">
        <f>'Unit Data from Audit Worksheet'!D216</f>
        <v>Cash and Investment - Please list the book value of any unspent debt proceeds (bonds, installment, etc.) in any funds as of June 30.  This information may be on the face of your statements or in the notes</v>
      </c>
      <c r="D188" s="356"/>
      <c r="E188" s="357">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2"/>
      <c r="H188" s="349">
        <f>'Unit Data from Audit Worksheet'!I216</f>
        <v>0</v>
      </c>
      <c r="I188" s="38"/>
      <c r="J188" s="348">
        <v>535</v>
      </c>
      <c r="K188" s="62" t="s">
        <v>253</v>
      </c>
      <c r="L188" s="585">
        <f t="shared" si="20"/>
        <v>0</v>
      </c>
      <c r="P188" s="319"/>
      <c r="Q188" s="575"/>
      <c r="R188" s="3"/>
      <c r="W188" s="3" t="b">
        <f t="shared" si="19"/>
        <v>1</v>
      </c>
      <c r="X188" s="582">
        <f t="shared" si="21"/>
        <v>0</v>
      </c>
      <c r="Y188" s="582">
        <f t="shared" si="22"/>
        <v>0</v>
      </c>
    </row>
    <row r="189" spans="1:25" ht="45.75" customHeight="1" x14ac:dyDescent="0.3">
      <c r="A189" s="337">
        <f>'Unit Data from Audit Worksheet'!A220</f>
        <v>334</v>
      </c>
      <c r="B189" s="351" t="str">
        <f>'Unit Data from Audit Worksheet'!C220</f>
        <v>Gov.-Capital Assets Schedule in the Notes</v>
      </c>
      <c r="C189" s="336" t="str">
        <f>'Unit Data from Audit Worksheet'!D220</f>
        <v>Gross value.  
Exclude non-depreciable.</v>
      </c>
      <c r="D189" s="356"/>
      <c r="E189" s="357">
        <f>'Unit Data from Audit Worksheet'!F220</f>
        <v>0</v>
      </c>
      <c r="F189" s="87"/>
      <c r="G189" s="352"/>
      <c r="H189" s="349">
        <f>'Unit Data from Audit Worksheet'!I220</f>
        <v>0</v>
      </c>
      <c r="I189" s="38"/>
      <c r="J189" s="348">
        <v>334</v>
      </c>
      <c r="K189" s="62" t="s">
        <v>275</v>
      </c>
      <c r="L189" s="585">
        <f t="shared" si="20"/>
        <v>0</v>
      </c>
      <c r="P189" s="319"/>
      <c r="W189" s="3" t="b">
        <f t="shared" si="19"/>
        <v>1</v>
      </c>
      <c r="X189" s="582">
        <f t="shared" si="21"/>
        <v>0</v>
      </c>
      <c r="Y189" s="582">
        <f t="shared" si="22"/>
        <v>0</v>
      </c>
    </row>
    <row r="190" spans="1:25" ht="57" customHeight="1" x14ac:dyDescent="0.3">
      <c r="A190" s="337">
        <f>'Unit Data from Audit Worksheet'!A221</f>
        <v>373</v>
      </c>
      <c r="B190" s="351" t="str">
        <f>'Unit Data from Audit Worksheet'!C221</f>
        <v>Gov.-Capital Assets Schedule in the Notes</v>
      </c>
      <c r="C190" s="336" t="str">
        <f>'Unit Data from Audit Worksheet'!D221</f>
        <v>Accumulated depreciation</v>
      </c>
      <c r="D190" s="356"/>
      <c r="E190" s="357">
        <f>'Unit Data from Audit Worksheet'!F221</f>
        <v>0</v>
      </c>
      <c r="F190" s="87"/>
      <c r="G190" s="352"/>
      <c r="H190" s="349">
        <f>'Unit Data from Audit Worksheet'!I221</f>
        <v>0</v>
      </c>
      <c r="I190" s="38"/>
      <c r="J190" s="348">
        <v>373</v>
      </c>
      <c r="K190" s="58" t="s">
        <v>548</v>
      </c>
      <c r="L190" s="585">
        <f t="shared" si="20"/>
        <v>0</v>
      </c>
      <c r="P190" s="319"/>
      <c r="W190" s="3" t="b">
        <f t="shared" si="19"/>
        <v>1</v>
      </c>
      <c r="X190" s="582">
        <f t="shared" si="21"/>
        <v>0</v>
      </c>
      <c r="Y190" s="582">
        <f t="shared" si="22"/>
        <v>0</v>
      </c>
    </row>
    <row r="191" spans="1:25" ht="102.75" customHeight="1" x14ac:dyDescent="0.3">
      <c r="A191" s="601">
        <f>'Unit Data from Audit Worksheet'!A222</f>
        <v>987</v>
      </c>
      <c r="B191" s="355">
        <f>'Unit Data from Audit Worksheet'!C222</f>
        <v>0</v>
      </c>
      <c r="C191" s="602" t="str">
        <f>'Unit Data from Audit Worksheet'!D222</f>
        <v xml:space="preserve">Estimated cost not yet budgeted of any mandate placed on unit by DEQ, a court order or some similar requirement (that has no realistic appeal path). </v>
      </c>
      <c r="D191" s="356"/>
      <c r="E191" s="357">
        <f>'Unit Data from Audit Worksheet'!F222</f>
        <v>0</v>
      </c>
      <c r="F191" s="87"/>
      <c r="G191" s="352"/>
      <c r="H191" s="349">
        <f>'Unit Data from Audit Worksheet'!I222</f>
        <v>0</v>
      </c>
      <c r="I191" s="38"/>
      <c r="J191" s="366">
        <v>987</v>
      </c>
      <c r="K191" s="612" t="s">
        <v>1308</v>
      </c>
      <c r="L191" s="603">
        <f t="shared" si="20"/>
        <v>0</v>
      </c>
      <c r="P191" s="319"/>
      <c r="W191" s="3" t="b">
        <f t="shared" si="19"/>
        <v>1</v>
      </c>
      <c r="X191" s="582"/>
      <c r="Y191" s="582"/>
    </row>
    <row r="192" spans="1:25" ht="69" customHeight="1" x14ac:dyDescent="0.3">
      <c r="A192" s="601">
        <f>'Unit Data from Audit Worksheet'!A223</f>
        <v>988</v>
      </c>
      <c r="B192" s="355">
        <f>'Unit Data from Audit Worksheet'!C223</f>
        <v>0</v>
      </c>
      <c r="C192" s="602" t="str">
        <f>'Unit Data from Audit Worksheet'!D223</f>
        <v>Do you operate a landfill that will be closing  or have a significant portion closing within the next 5 years?  Select "1" for Yes and "2" for No</v>
      </c>
      <c r="D192" s="356"/>
      <c r="E192" s="357">
        <f>'Unit Data from Audit Worksheet'!F223</f>
        <v>0</v>
      </c>
      <c r="F192" s="87"/>
      <c r="G192" s="352"/>
      <c r="H192" s="349">
        <f>'Unit Data from Audit Worksheet'!I223</f>
        <v>0</v>
      </c>
      <c r="I192" s="38"/>
      <c r="J192" s="366">
        <v>988</v>
      </c>
      <c r="K192" s="612" t="s">
        <v>1803</v>
      </c>
      <c r="L192" s="603">
        <f t="shared" si="20"/>
        <v>0</v>
      </c>
      <c r="P192" s="319"/>
      <c r="W192" s="3" t="b">
        <f t="shared" si="19"/>
        <v>1</v>
      </c>
      <c r="X192" s="582"/>
      <c r="Y192" s="582"/>
    </row>
    <row r="193" spans="1:25" ht="95.25" customHeight="1" x14ac:dyDescent="0.3">
      <c r="A193" s="601">
        <f>'Unit Data from Audit Worksheet'!A224</f>
        <v>989</v>
      </c>
      <c r="B193" s="355">
        <f>'Unit Data from Audit Worksheet'!C224</f>
        <v>0</v>
      </c>
      <c r="C193" s="602" t="str">
        <f>'Unit Data from Audit Worksheet'!D224</f>
        <v>If you answered "yes" to question #988 above, will you have the closure/postclosure cost fully funded by the date of closure?  Select "1" for Yes,  "2" for No, or "3" for N/A.</v>
      </c>
      <c r="D193" s="356"/>
      <c r="E193" s="357">
        <f>'Unit Data from Audit Worksheet'!F224</f>
        <v>0</v>
      </c>
      <c r="F193" s="87"/>
      <c r="G193" s="352"/>
      <c r="H193" s="349">
        <f>'Unit Data from Audit Worksheet'!I224</f>
        <v>0</v>
      </c>
      <c r="I193" s="38"/>
      <c r="J193" s="366">
        <v>989</v>
      </c>
      <c r="K193" s="612" t="s">
        <v>1570</v>
      </c>
      <c r="L193" s="603">
        <f t="shared" si="20"/>
        <v>0</v>
      </c>
      <c r="P193" s="319"/>
      <c r="W193" s="3" t="b">
        <f t="shared" si="19"/>
        <v>1</v>
      </c>
      <c r="X193" s="582"/>
      <c r="Y193" s="582"/>
    </row>
    <row r="194" spans="1:25" ht="57" customHeight="1" x14ac:dyDescent="0.3">
      <c r="A194" s="337">
        <f>'Unit Data from Audit Worksheet'!A228</f>
        <v>327</v>
      </c>
      <c r="B194" s="351" t="str">
        <f>'Unit Data from Audit Worksheet'!C228</f>
        <v>WS-Capital Assets Schedule in the Notes</v>
      </c>
      <c r="C194" s="336" t="str">
        <f>'Unit Data from Audit Worksheet'!D228</f>
        <v>Land and all other non depreciable capital assets 
Exclude construction in progress</v>
      </c>
      <c r="D194" s="356"/>
      <c r="E194" s="357">
        <f>'Unit Data from Audit Worksheet'!F228</f>
        <v>0</v>
      </c>
      <c r="F194" s="87"/>
      <c r="G194" s="352"/>
      <c r="H194" s="349">
        <f>'Unit Data from Audit Worksheet'!I228</f>
        <v>0</v>
      </c>
      <c r="I194" s="38"/>
      <c r="J194" s="348">
        <v>327</v>
      </c>
      <c r="K194" s="58" t="s">
        <v>549</v>
      </c>
      <c r="L194" s="585">
        <f t="shared" si="20"/>
        <v>0</v>
      </c>
      <c r="P194" s="319"/>
      <c r="W194" s="3" t="b">
        <f t="shared" si="19"/>
        <v>1</v>
      </c>
      <c r="X194" s="582">
        <f t="shared" si="21"/>
        <v>0</v>
      </c>
      <c r="Y194" s="582">
        <f t="shared" si="22"/>
        <v>0</v>
      </c>
    </row>
    <row r="195" spans="1:25" ht="57" customHeight="1" x14ac:dyDescent="0.3">
      <c r="A195" s="337">
        <f>'Unit Data from Audit Worksheet'!A229</f>
        <v>328</v>
      </c>
      <c r="B195" s="351" t="str">
        <f>'Unit Data from Audit Worksheet'!C229</f>
        <v>WS-Capital Assets Schedule in the Notes</v>
      </c>
      <c r="C195" s="336" t="str">
        <f>'Unit Data from Audit Worksheet'!D229</f>
        <v>Construction in progress</v>
      </c>
      <c r="D195" s="356"/>
      <c r="E195" s="357">
        <f>'Unit Data from Audit Worksheet'!F229</f>
        <v>0</v>
      </c>
      <c r="F195" s="87"/>
      <c r="G195" s="352"/>
      <c r="H195" s="349">
        <f>'Unit Data from Audit Worksheet'!I229</f>
        <v>0</v>
      </c>
      <c r="I195" s="38"/>
      <c r="J195" s="348">
        <v>328</v>
      </c>
      <c r="K195" s="58" t="s">
        <v>550</v>
      </c>
      <c r="L195" s="585">
        <f t="shared" si="20"/>
        <v>0</v>
      </c>
      <c r="P195" s="319"/>
      <c r="W195" s="3" t="b">
        <f t="shared" si="19"/>
        <v>1</v>
      </c>
      <c r="X195" s="582">
        <f t="shared" si="21"/>
        <v>0</v>
      </c>
      <c r="Y195" s="582">
        <f t="shared" si="22"/>
        <v>0</v>
      </c>
    </row>
    <row r="196" spans="1:25" ht="46.5" customHeight="1" x14ac:dyDescent="0.3">
      <c r="A196" s="337">
        <f>'Unit Data from Audit Worksheet'!A233</f>
        <v>515</v>
      </c>
      <c r="B196" s="351" t="str">
        <f>'Unit Data from Audit Worksheet'!C233</f>
        <v>WS Capital Assets Schedule-Gross Value</v>
      </c>
      <c r="C196" s="336" t="str">
        <f>'Unit Data from Audit Worksheet'!D233</f>
        <v>Buildings</v>
      </c>
      <c r="D196" s="356"/>
      <c r="E196" s="357">
        <f>'Unit Data from Audit Worksheet'!F233</f>
        <v>0</v>
      </c>
      <c r="F196" s="87"/>
      <c r="G196" s="352"/>
      <c r="H196" s="349">
        <f>'Unit Data from Audit Worksheet'!I233</f>
        <v>0</v>
      </c>
      <c r="I196" s="38"/>
      <c r="J196" s="348">
        <v>515</v>
      </c>
      <c r="K196" s="58" t="s">
        <v>276</v>
      </c>
      <c r="L196" s="585">
        <f t="shared" si="20"/>
        <v>0</v>
      </c>
      <c r="P196" s="319"/>
      <c r="W196" s="3" t="b">
        <f t="shared" si="19"/>
        <v>1</v>
      </c>
      <c r="X196" s="582">
        <f t="shared" si="21"/>
        <v>0</v>
      </c>
      <c r="Y196" s="582">
        <f t="shared" si="22"/>
        <v>0</v>
      </c>
    </row>
    <row r="197" spans="1:25" ht="46.5" customHeight="1" x14ac:dyDescent="0.3">
      <c r="A197" s="337">
        <f>'Unit Data from Audit Worksheet'!A234</f>
        <v>516</v>
      </c>
      <c r="B197" s="351" t="str">
        <f>'Unit Data from Audit Worksheet'!C234</f>
        <v>WS Capital Assets Schedule-Gross Value</v>
      </c>
      <c r="C197" s="336" t="str">
        <f>'Unit Data from Audit Worksheet'!D234</f>
        <v>Plant / distributions systems / water lines</v>
      </c>
      <c r="D197" s="356"/>
      <c r="E197" s="357">
        <f>'Unit Data from Audit Worksheet'!F234</f>
        <v>0</v>
      </c>
      <c r="F197" s="87"/>
      <c r="G197" s="352"/>
      <c r="H197" s="349">
        <f>'Unit Data from Audit Worksheet'!I234</f>
        <v>0</v>
      </c>
      <c r="I197" s="38"/>
      <c r="J197" s="348">
        <v>516</v>
      </c>
      <c r="K197" s="58" t="s">
        <v>277</v>
      </c>
      <c r="L197" s="585">
        <f t="shared" si="20"/>
        <v>0</v>
      </c>
      <c r="P197" s="319"/>
      <c r="W197" s="3" t="b">
        <f t="shared" ref="W197:W228" si="23">EXACT(A197,J197)</f>
        <v>1</v>
      </c>
      <c r="X197" s="582">
        <f t="shared" si="21"/>
        <v>0</v>
      </c>
      <c r="Y197" s="582">
        <f t="shared" si="22"/>
        <v>0</v>
      </c>
    </row>
    <row r="198" spans="1:25" ht="46.5" customHeight="1" x14ac:dyDescent="0.3">
      <c r="A198" s="337">
        <f>'Unit Data from Audit Worksheet'!A235</f>
        <v>517</v>
      </c>
      <c r="B198" s="351" t="str">
        <f>'Unit Data from Audit Worksheet'!C235</f>
        <v>WS Capital Assets Schedule-Gross Value</v>
      </c>
      <c r="C198" s="336" t="str">
        <f>'Unit Data from Audit Worksheet'!D235</f>
        <v>Infrastructure(other infrastructure)</v>
      </c>
      <c r="D198" s="356"/>
      <c r="E198" s="357">
        <f>'Unit Data from Audit Worksheet'!F235</f>
        <v>0</v>
      </c>
      <c r="F198" s="87"/>
      <c r="G198" s="352"/>
      <c r="H198" s="349">
        <f>'Unit Data from Audit Worksheet'!I235</f>
        <v>0</v>
      </c>
      <c r="I198" s="38"/>
      <c r="J198" s="348">
        <v>517</v>
      </c>
      <c r="K198" s="613" t="s">
        <v>278</v>
      </c>
      <c r="L198" s="585">
        <f t="shared" si="20"/>
        <v>0</v>
      </c>
      <c r="P198" s="319"/>
      <c r="W198" s="3" t="b">
        <f t="shared" si="23"/>
        <v>1</v>
      </c>
      <c r="X198" s="582">
        <f t="shared" si="21"/>
        <v>0</v>
      </c>
      <c r="Y198" s="582">
        <f t="shared" si="22"/>
        <v>0</v>
      </c>
    </row>
    <row r="199" spans="1:25" ht="46.5" customHeight="1" x14ac:dyDescent="0.3">
      <c r="A199" s="337">
        <f>'Unit Data from Audit Worksheet'!A236</f>
        <v>518</v>
      </c>
      <c r="B199" s="351" t="str">
        <f>'Unit Data from Audit Worksheet'!C236</f>
        <v>WS Capital Assets Schedule-Gross Value</v>
      </c>
      <c r="C199" s="336" t="str">
        <f>'Unit Data from Audit Worksheet'!D236</f>
        <v>All other depreciable capital assets</v>
      </c>
      <c r="D199" s="356"/>
      <c r="E199" s="357">
        <f>'Unit Data from Audit Worksheet'!F236</f>
        <v>0</v>
      </c>
      <c r="F199" s="87"/>
      <c r="G199" s="352"/>
      <c r="H199" s="349">
        <f>'Unit Data from Audit Worksheet'!I236</f>
        <v>0</v>
      </c>
      <c r="I199" s="38"/>
      <c r="J199" s="348">
        <v>518</v>
      </c>
      <c r="K199" s="613" t="s">
        <v>279</v>
      </c>
      <c r="L199" s="585">
        <f t="shared" si="20"/>
        <v>0</v>
      </c>
      <c r="P199" s="319"/>
      <c r="W199" s="3" t="b">
        <f t="shared" si="23"/>
        <v>1</v>
      </c>
      <c r="X199" s="582">
        <f t="shared" si="21"/>
        <v>0</v>
      </c>
      <c r="Y199" s="582">
        <f t="shared" si="22"/>
        <v>0</v>
      </c>
    </row>
    <row r="200" spans="1:25" ht="52.5" customHeight="1" x14ac:dyDescent="0.3">
      <c r="A200" s="337">
        <f>'Unit Data from Audit Worksheet'!A239</f>
        <v>519</v>
      </c>
      <c r="B200" s="351" t="str">
        <f>'Unit Data from Audit Worksheet'!C239</f>
        <v>WS Capital Assets Schedule-Annual Depreciation</v>
      </c>
      <c r="C200" s="336" t="str">
        <f>'Unit Data from Audit Worksheet'!D239</f>
        <v>Buildings annual depreciation</v>
      </c>
      <c r="D200" s="356"/>
      <c r="E200" s="357">
        <f>'Unit Data from Audit Worksheet'!F239</f>
        <v>0</v>
      </c>
      <c r="F200" s="87"/>
      <c r="G200" s="352"/>
      <c r="H200" s="349">
        <f>'Unit Data from Audit Worksheet'!I239</f>
        <v>0</v>
      </c>
      <c r="I200" s="38"/>
      <c r="J200" s="348">
        <v>519</v>
      </c>
      <c r="K200" s="613" t="s">
        <v>280</v>
      </c>
      <c r="L200" s="585">
        <f t="shared" si="20"/>
        <v>0</v>
      </c>
      <c r="P200" s="319"/>
      <c r="W200" s="3" t="b">
        <f t="shared" si="23"/>
        <v>1</v>
      </c>
      <c r="X200" s="582">
        <f t="shared" si="21"/>
        <v>0</v>
      </c>
      <c r="Y200" s="582">
        <f t="shared" si="22"/>
        <v>0</v>
      </c>
    </row>
    <row r="201" spans="1:25" ht="52.5" customHeight="1" x14ac:dyDescent="0.3">
      <c r="A201" s="337">
        <f>'Unit Data from Audit Worksheet'!A240</f>
        <v>520</v>
      </c>
      <c r="B201" s="351" t="str">
        <f>'Unit Data from Audit Worksheet'!C240</f>
        <v>WS Capital Assets Schedule-Annual Depreciation</v>
      </c>
      <c r="C201" s="336" t="str">
        <f>'Unit Data from Audit Worksheet'!D240</f>
        <v>Plant / distributions systems / water lines annual depreciation</v>
      </c>
      <c r="D201" s="356"/>
      <c r="E201" s="357">
        <f>'Unit Data from Audit Worksheet'!F240</f>
        <v>0</v>
      </c>
      <c r="F201" s="87"/>
      <c r="G201" s="352"/>
      <c r="H201" s="349">
        <f>'Unit Data from Audit Worksheet'!I240</f>
        <v>0</v>
      </c>
      <c r="I201" s="38"/>
      <c r="J201" s="348">
        <v>520</v>
      </c>
      <c r="K201" s="613" t="s">
        <v>281</v>
      </c>
      <c r="L201" s="585">
        <f t="shared" si="20"/>
        <v>0</v>
      </c>
      <c r="P201" s="319"/>
      <c r="W201" s="3" t="b">
        <f t="shared" si="23"/>
        <v>1</v>
      </c>
      <c r="X201" s="582">
        <f t="shared" si="21"/>
        <v>0</v>
      </c>
      <c r="Y201" s="582">
        <f t="shared" si="22"/>
        <v>0</v>
      </c>
    </row>
    <row r="202" spans="1:25" ht="52.5" customHeight="1" x14ac:dyDescent="0.3">
      <c r="A202" s="337">
        <f>'Unit Data from Audit Worksheet'!A241</f>
        <v>521</v>
      </c>
      <c r="B202" s="351" t="str">
        <f>'Unit Data from Audit Worksheet'!C241</f>
        <v>WS Capital Assets Schedule-Annual Depreciation</v>
      </c>
      <c r="C202" s="336" t="str">
        <f>'Unit Data from Audit Worksheet'!D241</f>
        <v>Infrastructure(other infrastructure) annual depreciation</v>
      </c>
      <c r="D202" s="356"/>
      <c r="E202" s="357">
        <f>'Unit Data from Audit Worksheet'!F241</f>
        <v>0</v>
      </c>
      <c r="F202" s="87"/>
      <c r="G202" s="352"/>
      <c r="H202" s="349">
        <f>'Unit Data from Audit Worksheet'!I241</f>
        <v>0</v>
      </c>
      <c r="I202" s="38"/>
      <c r="J202" s="348">
        <v>521</v>
      </c>
      <c r="K202" s="58" t="s">
        <v>282</v>
      </c>
      <c r="L202" s="585">
        <f t="shared" si="20"/>
        <v>0</v>
      </c>
      <c r="P202" s="319"/>
      <c r="W202" s="3" t="b">
        <f t="shared" si="23"/>
        <v>1</v>
      </c>
      <c r="X202" s="582">
        <f t="shared" si="21"/>
        <v>0</v>
      </c>
      <c r="Y202" s="582">
        <f t="shared" si="22"/>
        <v>0</v>
      </c>
    </row>
    <row r="203" spans="1:25" ht="42.75" customHeight="1" x14ac:dyDescent="0.3">
      <c r="A203" s="337">
        <f>'Unit Data from Audit Worksheet'!A242</f>
        <v>522</v>
      </c>
      <c r="B203" s="351" t="str">
        <f>'Unit Data from Audit Worksheet'!C242</f>
        <v>WS Capital Assets Schedule-Annual Depreciation</v>
      </c>
      <c r="C203" s="336" t="str">
        <f>'Unit Data from Audit Worksheet'!D242</f>
        <v>All other depreciable capital assets annual depreciation</v>
      </c>
      <c r="D203" s="356"/>
      <c r="E203" s="357">
        <f>'Unit Data from Audit Worksheet'!F242</f>
        <v>0</v>
      </c>
      <c r="F203" s="87"/>
      <c r="G203" s="352"/>
      <c r="H203" s="349">
        <f>'Unit Data from Audit Worksheet'!I242</f>
        <v>0</v>
      </c>
      <c r="I203" s="38"/>
      <c r="J203" s="348">
        <v>522</v>
      </c>
      <c r="K203" s="58" t="s">
        <v>283</v>
      </c>
      <c r="L203" s="585">
        <f t="shared" si="20"/>
        <v>0</v>
      </c>
      <c r="P203" s="319"/>
      <c r="W203" s="3" t="b">
        <f t="shared" si="23"/>
        <v>1</v>
      </c>
      <c r="X203" s="582">
        <f t="shared" si="21"/>
        <v>0</v>
      </c>
      <c r="Y203" s="582">
        <f t="shared" si="22"/>
        <v>0</v>
      </c>
    </row>
    <row r="204" spans="1:25" ht="42.75" customHeight="1" x14ac:dyDescent="0.3">
      <c r="A204" s="337">
        <f>'Unit Data from Audit Worksheet'!A245</f>
        <v>523</v>
      </c>
      <c r="B204" s="351" t="str">
        <f>'Unit Data from Audit Worksheet'!C245</f>
        <v>WS Capital Assets Schedule-Accumulated Depreciation</v>
      </c>
      <c r="C204" s="336" t="str">
        <f>'Unit Data from Audit Worksheet'!D245</f>
        <v>Building accumulated depreciation</v>
      </c>
      <c r="D204" s="356"/>
      <c r="E204" s="357">
        <f>'Unit Data from Audit Worksheet'!F245</f>
        <v>0</v>
      </c>
      <c r="F204" s="87"/>
      <c r="G204" s="352"/>
      <c r="H204" s="349">
        <f>'Unit Data from Audit Worksheet'!I245</f>
        <v>0</v>
      </c>
      <c r="I204" s="38"/>
      <c r="J204" s="348">
        <v>523</v>
      </c>
      <c r="K204" s="58" t="s">
        <v>284</v>
      </c>
      <c r="L204" s="585">
        <f t="shared" si="20"/>
        <v>0</v>
      </c>
      <c r="P204" s="319"/>
      <c r="W204" s="3" t="b">
        <f t="shared" si="23"/>
        <v>1</v>
      </c>
      <c r="X204" s="582">
        <f t="shared" si="21"/>
        <v>0</v>
      </c>
      <c r="Y204" s="582">
        <f t="shared" si="22"/>
        <v>0</v>
      </c>
    </row>
    <row r="205" spans="1:25" ht="51" customHeight="1" x14ac:dyDescent="0.3">
      <c r="A205" s="337">
        <f>'Unit Data from Audit Worksheet'!A246</f>
        <v>524</v>
      </c>
      <c r="B205" s="351" t="str">
        <f>'Unit Data from Audit Worksheet'!C246</f>
        <v>WS Capital Assets Schedule-Accumulated Depreciation</v>
      </c>
      <c r="C205" s="336" t="str">
        <f>'Unit Data from Audit Worksheet'!D246</f>
        <v>Plant / distributions systems / water lines accumulated depreciation</v>
      </c>
      <c r="D205" s="356"/>
      <c r="E205" s="357">
        <f>'Unit Data from Audit Worksheet'!F246</f>
        <v>0</v>
      </c>
      <c r="F205" s="87"/>
      <c r="G205" s="352"/>
      <c r="H205" s="349">
        <f>'Unit Data from Audit Worksheet'!I246</f>
        <v>0</v>
      </c>
      <c r="I205" s="38"/>
      <c r="J205" s="348">
        <v>524</v>
      </c>
      <c r="K205" s="58" t="s">
        <v>285</v>
      </c>
      <c r="L205" s="585">
        <f t="shared" si="20"/>
        <v>0</v>
      </c>
      <c r="P205" s="319"/>
      <c r="W205" s="3" t="b">
        <f t="shared" si="23"/>
        <v>1</v>
      </c>
      <c r="X205" s="582">
        <f t="shared" si="21"/>
        <v>0</v>
      </c>
      <c r="Y205" s="582">
        <f t="shared" si="22"/>
        <v>0</v>
      </c>
    </row>
    <row r="206" spans="1:25" ht="57.75" customHeight="1" x14ac:dyDescent="0.3">
      <c r="A206" s="337">
        <f>'Unit Data from Audit Worksheet'!A247</f>
        <v>525</v>
      </c>
      <c r="B206" s="351" t="str">
        <f>'Unit Data from Audit Worksheet'!C247</f>
        <v>WS Capital Assets Schedule-Accumulated Depreciation</v>
      </c>
      <c r="C206" s="336" t="str">
        <f>'Unit Data from Audit Worksheet'!D247</f>
        <v>Infrastructure(other infrastructure) accumulated depreciation</v>
      </c>
      <c r="D206" s="356"/>
      <c r="E206" s="357">
        <f>'Unit Data from Audit Worksheet'!F247</f>
        <v>0</v>
      </c>
      <c r="F206" s="87"/>
      <c r="G206" s="352"/>
      <c r="H206" s="349">
        <f>'Unit Data from Audit Worksheet'!I247</f>
        <v>0</v>
      </c>
      <c r="I206" s="38"/>
      <c r="J206" s="348">
        <v>525</v>
      </c>
      <c r="K206" s="58" t="s">
        <v>286</v>
      </c>
      <c r="L206" s="585">
        <f t="shared" si="20"/>
        <v>0</v>
      </c>
      <c r="P206" s="319"/>
      <c r="W206" s="3" t="b">
        <f t="shared" si="23"/>
        <v>1</v>
      </c>
      <c r="X206" s="582">
        <f t="shared" si="21"/>
        <v>0</v>
      </c>
      <c r="Y206" s="582">
        <f t="shared" si="22"/>
        <v>0</v>
      </c>
    </row>
    <row r="207" spans="1:25" ht="48" customHeight="1" x14ac:dyDescent="0.3">
      <c r="A207" s="337">
        <f>'Unit Data from Audit Worksheet'!A248</f>
        <v>526</v>
      </c>
      <c r="B207" s="351" t="str">
        <f>'Unit Data from Audit Worksheet'!C248</f>
        <v>WS Capital Assets Schedule-Accumulated Depreciation</v>
      </c>
      <c r="C207" s="336" t="str">
        <f>'Unit Data from Audit Worksheet'!D248</f>
        <v>All other depreciable capital assets accumulated depreciation</v>
      </c>
      <c r="D207" s="356"/>
      <c r="E207" s="357">
        <f>'Unit Data from Audit Worksheet'!F248</f>
        <v>0</v>
      </c>
      <c r="F207" s="87"/>
      <c r="G207" s="352"/>
      <c r="H207" s="349">
        <f>'Unit Data from Audit Worksheet'!I248</f>
        <v>0</v>
      </c>
      <c r="I207" s="38"/>
      <c r="J207" s="348">
        <v>526</v>
      </c>
      <c r="K207" s="58" t="s">
        <v>287</v>
      </c>
      <c r="L207" s="585">
        <f t="shared" si="20"/>
        <v>0</v>
      </c>
      <c r="P207" s="319"/>
      <c r="W207" s="3" t="b">
        <f t="shared" si="23"/>
        <v>1</v>
      </c>
      <c r="X207" s="582">
        <f t="shared" si="21"/>
        <v>0</v>
      </c>
      <c r="Y207" s="582">
        <f t="shared" si="22"/>
        <v>0</v>
      </c>
    </row>
    <row r="208" spans="1:25" ht="50.25" customHeight="1" x14ac:dyDescent="0.3">
      <c r="A208" s="337">
        <f>'Unit Data from Audit Worksheet'!A253</f>
        <v>527</v>
      </c>
      <c r="B208" s="351" t="str">
        <f>'Unit Data from Audit Worksheet'!C253</f>
        <v>Electric Assets</v>
      </c>
      <c r="C208" s="336" t="str">
        <f>'Unit Data from Audit Worksheet'!D253</f>
        <v>Total Assets Gross value not being depreciated for Electric Fund</v>
      </c>
      <c r="D208" s="356"/>
      <c r="E208" s="357">
        <f>'Unit Data from Audit Worksheet'!F253</f>
        <v>0</v>
      </c>
      <c r="F208" s="87"/>
      <c r="G208" s="352"/>
      <c r="H208" s="349">
        <f>'Unit Data from Audit Worksheet'!I253</f>
        <v>0</v>
      </c>
      <c r="I208" s="38"/>
      <c r="J208" s="348">
        <v>527</v>
      </c>
      <c r="K208" s="58" t="s">
        <v>288</v>
      </c>
      <c r="L208" s="585">
        <f t="shared" si="20"/>
        <v>0</v>
      </c>
      <c r="P208" s="319"/>
      <c r="W208" s="3" t="b">
        <f t="shared" si="23"/>
        <v>1</v>
      </c>
      <c r="X208" s="582">
        <f t="shared" si="21"/>
        <v>0</v>
      </c>
      <c r="Y208" s="582">
        <f t="shared" si="22"/>
        <v>0</v>
      </c>
    </row>
    <row r="209" spans="1:27" ht="54.75" customHeight="1" x14ac:dyDescent="0.3">
      <c r="A209" s="337">
        <f>'Unit Data from Audit Worksheet'!A254</f>
        <v>356</v>
      </c>
      <c r="B209" s="351" t="str">
        <f>'Unit Data from Audit Worksheet'!C254</f>
        <v>Electric Assets</v>
      </c>
      <c r="C209" s="336" t="str">
        <f>'Unit Data from Audit Worksheet'!D254</f>
        <v>Total Assets Gross value of assets being depreciated for Electric Fund</v>
      </c>
      <c r="D209" s="356"/>
      <c r="E209" s="357">
        <f>'Unit Data from Audit Worksheet'!F254</f>
        <v>0</v>
      </c>
      <c r="F209" s="87"/>
      <c r="G209" s="352"/>
      <c r="H209" s="349">
        <f>'Unit Data from Audit Worksheet'!I254</f>
        <v>0</v>
      </c>
      <c r="I209" s="38"/>
      <c r="J209" s="348">
        <v>356</v>
      </c>
      <c r="K209" s="58" t="s">
        <v>551</v>
      </c>
      <c r="L209" s="585">
        <f t="shared" si="20"/>
        <v>0</v>
      </c>
      <c r="P209" s="319"/>
      <c r="W209" s="3" t="b">
        <f t="shared" si="23"/>
        <v>1</v>
      </c>
      <c r="X209" s="582">
        <f t="shared" si="21"/>
        <v>0</v>
      </c>
      <c r="Y209" s="582">
        <f t="shared" si="22"/>
        <v>0</v>
      </c>
    </row>
    <row r="210" spans="1:27" ht="54.75" customHeight="1" x14ac:dyDescent="0.3">
      <c r="A210" s="337">
        <f>'Unit Data from Audit Worksheet'!A255</f>
        <v>357</v>
      </c>
      <c r="B210" s="351" t="str">
        <f>'Unit Data from Audit Worksheet'!C255</f>
        <v>Electric Accumulated Depreciation</v>
      </c>
      <c r="C210" s="336" t="str">
        <f>'Unit Data from Audit Worksheet'!D255</f>
        <v>Total accumulated depreciation for Electric Fund assets</v>
      </c>
      <c r="D210" s="356"/>
      <c r="E210" s="357">
        <f>'Unit Data from Audit Worksheet'!F255</f>
        <v>0</v>
      </c>
      <c r="F210" s="87"/>
      <c r="G210" s="352"/>
      <c r="H210" s="349">
        <f>'Unit Data from Audit Worksheet'!I255</f>
        <v>0</v>
      </c>
      <c r="I210" s="38"/>
      <c r="J210" s="348">
        <v>357</v>
      </c>
      <c r="K210" s="58" t="s">
        <v>552</v>
      </c>
      <c r="L210" s="585">
        <f t="shared" si="20"/>
        <v>0</v>
      </c>
      <c r="P210" s="319"/>
      <c r="W210" s="3" t="b">
        <f t="shared" si="23"/>
        <v>1</v>
      </c>
      <c r="X210" s="582">
        <f t="shared" si="21"/>
        <v>0</v>
      </c>
      <c r="Y210" s="582">
        <f t="shared" si="22"/>
        <v>0</v>
      </c>
    </row>
    <row r="211" spans="1:27" ht="191.25" customHeight="1" x14ac:dyDescent="0.3">
      <c r="A211" s="337">
        <f>'Unit Data from Audit Worksheet'!A257</f>
        <v>337</v>
      </c>
      <c r="B211" s="351" t="str">
        <f>'Unit Data from Audit Worksheet'!C257</f>
        <v>Long-Term Liability Note - Governmental Activities</v>
      </c>
      <c r="C211" s="351"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6"/>
      <c r="E211" s="357">
        <f>'Unit Data from Audit Worksheet'!F257</f>
        <v>0</v>
      </c>
      <c r="F211" s="350">
        <f>IF(L211&lt;0,"Error: Enter as a positive.",)</f>
        <v>0</v>
      </c>
      <c r="G211" s="352"/>
      <c r="H211" s="349">
        <f>'Unit Data from Audit Worksheet'!I257</f>
        <v>0</v>
      </c>
      <c r="I211" s="38"/>
      <c r="J211" s="348">
        <v>337</v>
      </c>
      <c r="K211" s="347" t="s">
        <v>254</v>
      </c>
      <c r="L211" s="585">
        <f t="shared" si="20"/>
        <v>0</v>
      </c>
      <c r="P211" s="319"/>
      <c r="W211" s="3" t="b">
        <f t="shared" si="23"/>
        <v>1</v>
      </c>
      <c r="X211" s="582">
        <f t="shared" si="21"/>
        <v>0</v>
      </c>
      <c r="Y211" s="582">
        <f t="shared" si="22"/>
        <v>0</v>
      </c>
    </row>
    <row r="212" spans="1:27" ht="76.5" customHeight="1" x14ac:dyDescent="0.3">
      <c r="A212" s="337">
        <f>'Unit Data from Audit Worksheet'!A258</f>
        <v>343</v>
      </c>
      <c r="B212" s="351" t="str">
        <f>'Unit Data from Audit Worksheet'!C258</f>
        <v>Long-Term Liability Note - Governmental Activities</v>
      </c>
      <c r="C212" s="336" t="str">
        <f>'Unit Data from Audit Worksheet'!D258</f>
        <v>Decreases made (principal paid) on Long-Term Debt in current fiscal year.  Reduce for debt refunding.</v>
      </c>
      <c r="D212" s="356"/>
      <c r="E212" s="357">
        <f>'Unit Data from Audit Worksheet'!F258</f>
        <v>0</v>
      </c>
      <c r="F212" s="350">
        <f>IF(L212&lt;0,"Error: Enter as a positive.",)</f>
        <v>0</v>
      </c>
      <c r="G212" s="352"/>
      <c r="H212" s="349">
        <f>'Unit Data from Audit Worksheet'!I258</f>
        <v>0</v>
      </c>
      <c r="I212" s="38"/>
      <c r="J212" s="348">
        <v>343</v>
      </c>
      <c r="K212" s="347" t="s">
        <v>255</v>
      </c>
      <c r="L212" s="585">
        <f t="shared" si="20"/>
        <v>0</v>
      </c>
      <c r="P212" s="319"/>
      <c r="W212" s="3" t="b">
        <f t="shared" si="23"/>
        <v>1</v>
      </c>
      <c r="X212" s="582">
        <f t="shared" si="21"/>
        <v>0</v>
      </c>
      <c r="Y212" s="582">
        <f t="shared" si="22"/>
        <v>0</v>
      </c>
    </row>
    <row r="213" spans="1:27" ht="193.5" customHeight="1" x14ac:dyDescent="0.3">
      <c r="A213" s="337">
        <f>'Unit Data from Audit Worksheet'!A259</f>
        <v>82</v>
      </c>
      <c r="B213" s="351" t="str">
        <f>'Unit Data from Audit Worksheet'!C259</f>
        <v>Long-Term Liability Note - Water Sewer Activities</v>
      </c>
      <c r="C213" s="351"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6"/>
      <c r="E213" s="357">
        <f>'Unit Data from Audit Worksheet'!F259</f>
        <v>0</v>
      </c>
      <c r="F213" s="350">
        <f>IF(L213&lt;0,"Error: Enter as a positive.",)</f>
        <v>0</v>
      </c>
      <c r="G213" s="352"/>
      <c r="H213" s="349">
        <f>'Unit Data from Audit Worksheet'!I259</f>
        <v>0</v>
      </c>
      <c r="I213" s="38"/>
      <c r="J213" s="348">
        <v>82</v>
      </c>
      <c r="K213" s="69" t="s">
        <v>553</v>
      </c>
      <c r="L213" s="585">
        <f t="shared" si="20"/>
        <v>0</v>
      </c>
      <c r="P213" s="319"/>
      <c r="W213" s="3" t="b">
        <f t="shared" si="23"/>
        <v>1</v>
      </c>
      <c r="X213" s="582">
        <f t="shared" si="21"/>
        <v>0</v>
      </c>
      <c r="Y213" s="582">
        <f t="shared" si="22"/>
        <v>0</v>
      </c>
    </row>
    <row r="214" spans="1:27" ht="206.25" customHeight="1" x14ac:dyDescent="0.3">
      <c r="A214" s="337">
        <f>'Unit Data from Audit Worksheet'!A260</f>
        <v>359</v>
      </c>
      <c r="B214" s="351" t="str">
        <f>'Unit Data from Audit Worksheet'!C260</f>
        <v>Long-Term Liability Note - Electric Activities</v>
      </c>
      <c r="C214" s="351"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6"/>
      <c r="E214" s="357">
        <f>'Unit Data from Audit Worksheet'!F260</f>
        <v>0</v>
      </c>
      <c r="F214" s="350">
        <f>IF(L214&lt;0,"Error: Enter as a positive.",)</f>
        <v>0</v>
      </c>
      <c r="G214" s="352"/>
      <c r="H214" s="349">
        <f>'Unit Data from Audit Worksheet'!I260</f>
        <v>0</v>
      </c>
      <c r="I214" s="38"/>
      <c r="J214" s="348">
        <v>359</v>
      </c>
      <c r="K214" s="347" t="s">
        <v>256</v>
      </c>
      <c r="L214" s="585">
        <f t="shared" si="20"/>
        <v>0</v>
      </c>
      <c r="P214" s="319"/>
      <c r="W214" s="3" t="b">
        <f t="shared" si="23"/>
        <v>1</v>
      </c>
      <c r="X214" s="582">
        <f t="shared" si="21"/>
        <v>0</v>
      </c>
      <c r="Y214" s="582">
        <f t="shared" si="22"/>
        <v>0</v>
      </c>
    </row>
    <row r="215" spans="1:27" ht="76.5" customHeight="1" x14ac:dyDescent="0.3">
      <c r="A215" s="337">
        <f>'Unit Data from Audit Worksheet'!A262</f>
        <v>622</v>
      </c>
      <c r="B215" s="351" t="str">
        <f>'Unit Data from Audit Worksheet'!C262</f>
        <v>FS., Pension note or RSI</v>
      </c>
      <c r="C215" s="351"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6"/>
      <c r="E215" s="357">
        <f>'Unit Data from Audit Worksheet'!F262</f>
        <v>0</v>
      </c>
      <c r="F215" s="350"/>
      <c r="G215" s="352"/>
      <c r="H215" s="349"/>
      <c r="I215" s="38"/>
      <c r="J215" s="348">
        <v>622</v>
      </c>
      <c r="K215" s="354" t="s">
        <v>715</v>
      </c>
      <c r="L215" s="585">
        <f t="shared" si="20"/>
        <v>0</v>
      </c>
      <c r="P215" s="319"/>
      <c r="W215" s="3" t="b">
        <f t="shared" si="23"/>
        <v>1</v>
      </c>
      <c r="X215" s="582">
        <f t="shared" si="21"/>
        <v>0</v>
      </c>
      <c r="Y215" s="582">
        <f t="shared" si="22"/>
        <v>0</v>
      </c>
    </row>
    <row r="216" spans="1:27" ht="138.75" customHeight="1" x14ac:dyDescent="0.3">
      <c r="A216" s="337">
        <f>'Unit Data from Audit Worksheet'!A263</f>
        <v>577</v>
      </c>
      <c r="B216" s="351" t="str">
        <f>'Unit Data from Audit Worksheet'!C263</f>
        <v>Pension Notes</v>
      </c>
      <c r="C216" s="351"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6"/>
      <c r="E216" s="357" t="str">
        <f>IF('Unit Data from Audit Worksheet'!F263="Yes",1,IF('Unit Data from Audit Worksheet'!F263="No",2,IF('Unit Data from Audit Worksheet'!F263&lt;1,"",IF('Unit Data from Audit Worksheet'!F263=0&gt;2,""))))</f>
        <v/>
      </c>
      <c r="F216" s="350"/>
      <c r="G216" s="352"/>
      <c r="H216" s="349"/>
      <c r="I216" s="38"/>
      <c r="J216" s="348">
        <v>577</v>
      </c>
      <c r="K216" s="354" t="s">
        <v>611</v>
      </c>
      <c r="L216" s="585" t="str">
        <f t="shared" si="20"/>
        <v/>
      </c>
      <c r="P216" s="319"/>
      <c r="W216" s="3" t="b">
        <f t="shared" si="23"/>
        <v>1</v>
      </c>
      <c r="X216" s="582" t="e">
        <f t="shared" si="21"/>
        <v>#VALUE!</v>
      </c>
      <c r="Y216" s="582" t="e">
        <f t="shared" si="22"/>
        <v>#VALUE!</v>
      </c>
    </row>
    <row r="217" spans="1:27" ht="115.5" customHeight="1" x14ac:dyDescent="0.3">
      <c r="A217" s="614">
        <f>'Unit Data from Audit Worksheet'!A265</f>
        <v>598</v>
      </c>
      <c r="B217" s="351" t="str">
        <f>'Unit Data from Audit Worksheet'!C265</f>
        <v>LEO Note</v>
      </c>
      <c r="C217" s="336" t="str">
        <f>'Unit Data from Audit Worksheet'!D265</f>
        <v>Amount the unit paid out in benefits under LEO special separation allowance to retired law enforcement officers this fiscal year if you report under GASB 68 or GASB 73.</v>
      </c>
      <c r="D217" s="356"/>
      <c r="E217" s="357">
        <f>'Unit Data from Audit Worksheet'!F265</f>
        <v>0</v>
      </c>
      <c r="F217" s="350">
        <f>IF(L217&lt;0,"Error: Enter as a positive.",)</f>
        <v>0</v>
      </c>
      <c r="G217" s="352"/>
      <c r="H217" s="349">
        <f>'Unit Data from Audit Worksheet'!I265</f>
        <v>0</v>
      </c>
      <c r="I217" s="38"/>
      <c r="J217" s="348">
        <v>598</v>
      </c>
      <c r="K217" s="94" t="s">
        <v>680</v>
      </c>
      <c r="L217" s="585">
        <f t="shared" si="20"/>
        <v>0</v>
      </c>
      <c r="P217" s="319"/>
      <c r="W217" s="3" t="b">
        <f t="shared" si="23"/>
        <v>1</v>
      </c>
      <c r="X217" s="582">
        <f t="shared" si="21"/>
        <v>0</v>
      </c>
      <c r="Y217" s="582">
        <f t="shared" si="22"/>
        <v>0</v>
      </c>
    </row>
    <row r="218" spans="1:27" ht="84" customHeight="1" x14ac:dyDescent="0.3">
      <c r="A218" s="337">
        <f>'Unit Data from Audit Worksheet'!A266</f>
        <v>599</v>
      </c>
      <c r="B218" s="351" t="str">
        <f>'Unit Data from Audit Worksheet'!C266</f>
        <v>LEO Note</v>
      </c>
      <c r="C218" s="336" t="str">
        <f>'Unit Data from Audit Worksheet'!D266</f>
        <v>The total LEO pension liability if you report under GASB 68 or GASB 73.</v>
      </c>
      <c r="D218" s="356"/>
      <c r="E218" s="357">
        <f>'Unit Data from Audit Worksheet'!F266</f>
        <v>0</v>
      </c>
      <c r="F218" s="350">
        <f>IF(L218&lt;0,"Error: Enter as a positive.",)</f>
        <v>0</v>
      </c>
      <c r="G218" s="352"/>
      <c r="H218" s="349">
        <f>'Unit Data from Audit Worksheet'!I266</f>
        <v>0</v>
      </c>
      <c r="I218" s="38"/>
      <c r="J218" s="348">
        <v>599</v>
      </c>
      <c r="K218" s="93" t="s">
        <v>679</v>
      </c>
      <c r="L218" s="585">
        <f t="shared" si="20"/>
        <v>0</v>
      </c>
      <c r="M218" s="615"/>
      <c r="P218" s="319"/>
      <c r="W218" s="3" t="b">
        <f t="shared" si="23"/>
        <v>1</v>
      </c>
      <c r="X218" s="582">
        <f t="shared" si="21"/>
        <v>0</v>
      </c>
      <c r="Y218" s="582">
        <f t="shared" si="22"/>
        <v>0</v>
      </c>
    </row>
    <row r="219" spans="1:27" ht="102.75" customHeight="1" x14ac:dyDescent="0.3">
      <c r="A219" s="337">
        <f>'Unit Data from Audit Worksheet'!A267</f>
        <v>602</v>
      </c>
      <c r="B219" s="351" t="str">
        <f>'Unit Data from Audit Worksheet'!C267</f>
        <v>LEO Note</v>
      </c>
      <c r="C219" s="336" t="str">
        <f>'Unit Data from Audit Worksheet'!D267</f>
        <v>If you have LEO pension assets and are reporting under GASB 68 please enter "Plan Fiduciary Net Position" which can be found on your RSI schedules and the Notes.</v>
      </c>
      <c r="D219" s="356"/>
      <c r="E219" s="357">
        <f>'Unit Data from Audit Worksheet'!F267</f>
        <v>0</v>
      </c>
      <c r="F219" s="350">
        <f>IF(L219&lt;0,"Error: Enter as a positive.",)</f>
        <v>0</v>
      </c>
      <c r="G219" s="352"/>
      <c r="H219" s="349">
        <f>'Unit Data from Audit Worksheet'!I267</f>
        <v>0</v>
      </c>
      <c r="I219" s="38"/>
      <c r="J219" s="348">
        <v>602</v>
      </c>
      <c r="K219" s="26" t="s">
        <v>681</v>
      </c>
      <c r="L219" s="585">
        <f t="shared" si="20"/>
        <v>0</v>
      </c>
      <c r="M219" s="615"/>
      <c r="P219" s="319"/>
      <c r="W219" s="3" t="b">
        <f t="shared" si="23"/>
        <v>1</v>
      </c>
      <c r="X219" s="582">
        <f t="shared" si="21"/>
        <v>0</v>
      </c>
      <c r="Y219" s="582">
        <f t="shared" si="22"/>
        <v>0</v>
      </c>
    </row>
    <row r="220" spans="1:27" ht="123" customHeight="1" x14ac:dyDescent="0.3">
      <c r="A220" s="337">
        <f>'Unit Data from Audit Worksheet'!A268</f>
        <v>619</v>
      </c>
      <c r="B220" s="351"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50" t="str">
        <f>IF(H220=L220,"","Column L does not equal Column H")</f>
        <v/>
      </c>
      <c r="G220" s="352"/>
      <c r="H220" s="103">
        <f>ROUND(IFERROR((L219/L218)*100,0),1)</f>
        <v>0</v>
      </c>
      <c r="I220" s="38"/>
      <c r="J220" s="339">
        <v>619</v>
      </c>
      <c r="K220" s="102" t="s">
        <v>848</v>
      </c>
      <c r="L220" s="922">
        <f t="shared" si="20"/>
        <v>0</v>
      </c>
      <c r="M220" s="615"/>
      <c r="P220" s="616"/>
      <c r="Q220" s="617">
        <f>IF(H220=L220,0,1)</f>
        <v>0</v>
      </c>
      <c r="W220" s="3" t="b">
        <f t="shared" si="23"/>
        <v>1</v>
      </c>
      <c r="X220" s="582">
        <f t="shared" si="21"/>
        <v>0</v>
      </c>
      <c r="Y220" s="582">
        <f t="shared" si="22"/>
        <v>0</v>
      </c>
    </row>
    <row r="221" spans="1:27" ht="113.25" customHeight="1" x14ac:dyDescent="0.3">
      <c r="A221" s="337">
        <v>621</v>
      </c>
      <c r="B221" s="57" t="s">
        <v>707</v>
      </c>
      <c r="C221" s="618" t="str">
        <f>'Unit Data from Audit Worksheet'!D270</f>
        <v xml:space="preserve">Unit's share of Retirement Health Benefit Fund Net OPEB Liability ($s)
- unit of government is a participating employer in the State's RHBF </v>
      </c>
      <c r="D221" s="95"/>
      <c r="E221" s="357">
        <f>'Unit Data from Audit Worksheet'!F270</f>
        <v>0</v>
      </c>
      <c r="F221" s="350">
        <f>IF(L221&lt;0,"Error: Enter as a positive.",)</f>
        <v>0</v>
      </c>
      <c r="G221" s="128"/>
      <c r="H221" s="349"/>
      <c r="I221" s="38"/>
      <c r="J221" s="619">
        <v>621</v>
      </c>
      <c r="K221" s="129" t="s">
        <v>853</v>
      </c>
      <c r="L221" s="585">
        <f t="shared" si="20"/>
        <v>0</v>
      </c>
      <c r="M221" s="615"/>
      <c r="P221" s="619"/>
      <c r="Q221" s="296"/>
      <c r="W221" s="3" t="b">
        <f t="shared" si="23"/>
        <v>1</v>
      </c>
      <c r="X221" s="582">
        <f t="shared" si="21"/>
        <v>0</v>
      </c>
      <c r="Y221" s="582">
        <f t="shared" si="22"/>
        <v>0</v>
      </c>
    </row>
    <row r="222" spans="1:27" s="18" customFormat="1" ht="127.5" customHeight="1" x14ac:dyDescent="0.3">
      <c r="A222" s="614">
        <f>'Unit Data from Audit Worksheet'!A271</f>
        <v>547</v>
      </c>
      <c r="B222" s="351" t="str">
        <f>'Unit Data from Audit Worksheet'!C271</f>
        <v>OPEB Note</v>
      </c>
      <c r="C222" s="351"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6"/>
      <c r="E222" s="357">
        <f>'Unit Data from Audit Worksheet'!F271</f>
        <v>0</v>
      </c>
      <c r="F222" s="350" t="str">
        <f>IF(L225&lt;1,"Please answer this question","")</f>
        <v>Please answer this question</v>
      </c>
      <c r="G222" s="352"/>
      <c r="H222" s="349">
        <f>'Unit Data from Audit Worksheet'!I271</f>
        <v>0</v>
      </c>
      <c r="I222" s="38"/>
      <c r="J222" s="348">
        <v>547</v>
      </c>
      <c r="K222" s="620" t="s">
        <v>540</v>
      </c>
      <c r="L222" s="585">
        <f t="shared" si="20"/>
        <v>0</v>
      </c>
      <c r="M222" s="606"/>
      <c r="P222" s="319"/>
      <c r="Q222" s="575"/>
      <c r="R222" s="3"/>
      <c r="W222" s="3" t="b">
        <f t="shared" si="23"/>
        <v>1</v>
      </c>
      <c r="X222" s="582">
        <f t="shared" si="21"/>
        <v>0</v>
      </c>
      <c r="Y222" s="582">
        <f t="shared" si="22"/>
        <v>0</v>
      </c>
      <c r="AA222" s="3"/>
    </row>
    <row r="223" spans="1:27" s="18" customFormat="1" ht="99" customHeight="1" x14ac:dyDescent="0.3">
      <c r="A223" s="337">
        <f>'Unit Data from Audit Worksheet'!A272</f>
        <v>659</v>
      </c>
      <c r="B223" s="351" t="str">
        <f>'Unit Data from Audit Worksheet'!C272</f>
        <v>OPEB
 Note or RSI</v>
      </c>
      <c r="C223" s="336" t="str">
        <f>'Unit Data from Audit Worksheet'!D272</f>
        <v>Total OPEB benefits - total OPEB liability
If you do not provide benefit, please enter 0</v>
      </c>
      <c r="D223" s="356"/>
      <c r="E223" s="357">
        <f>'Unit Data from Audit Worksheet'!F272</f>
        <v>0</v>
      </c>
      <c r="F223" s="350">
        <f>IF(L223&lt;0,"Error: Enter as a positive.",)</f>
        <v>0</v>
      </c>
      <c r="G223" s="621" t="s">
        <v>1319</v>
      </c>
      <c r="H223" s="349">
        <f>'Unit Data from Audit Worksheet'!I272</f>
        <v>0</v>
      </c>
      <c r="I223" s="38"/>
      <c r="J223" s="339">
        <v>659</v>
      </c>
      <c r="K223" s="338" t="s">
        <v>809</v>
      </c>
      <c r="L223" s="599">
        <f t="shared" si="20"/>
        <v>0</v>
      </c>
      <c r="M223" s="606"/>
      <c r="P223" s="616"/>
      <c r="Q223" s="575"/>
      <c r="R223" s="3"/>
      <c r="W223" s="3" t="b">
        <f t="shared" si="23"/>
        <v>1</v>
      </c>
      <c r="X223" s="582">
        <f t="shared" si="21"/>
        <v>0</v>
      </c>
      <c r="Y223" s="582">
        <f t="shared" si="22"/>
        <v>0</v>
      </c>
      <c r="AA223" s="3"/>
    </row>
    <row r="224" spans="1:27" s="18" customFormat="1" ht="131.25" customHeight="1" x14ac:dyDescent="0.3">
      <c r="A224" s="337">
        <f>'Unit Data from Audit Worksheet'!A273</f>
        <v>660</v>
      </c>
      <c r="B224" s="351" t="str">
        <f>'Unit Data from Audit Worksheet'!C273</f>
        <v>OPEB
 Note or RSI</v>
      </c>
      <c r="C224" s="336" t="str">
        <f>'Unit Data from Audit Worksheet'!D273</f>
        <v>Total OPEB benefits- OPEB plan fiduciary net position
If no fiduciary net position, enter 0</v>
      </c>
      <c r="D224" s="356"/>
      <c r="E224" s="357">
        <f>'Unit Data from Audit Worksheet'!F273</f>
        <v>0</v>
      </c>
      <c r="F224" s="346">
        <f>IF(L224&lt;0,"Note: Number is normally positive.",)</f>
        <v>0</v>
      </c>
      <c r="G224" s="621" t="s">
        <v>1319</v>
      </c>
      <c r="H224" s="349">
        <f>'Unit Data from Audit Worksheet'!I273</f>
        <v>0</v>
      </c>
      <c r="I224" s="38"/>
      <c r="J224" s="339">
        <v>660</v>
      </c>
      <c r="K224" s="338" t="s">
        <v>810</v>
      </c>
      <c r="L224" s="599">
        <f t="shared" si="20"/>
        <v>0</v>
      </c>
      <c r="M224" s="606"/>
      <c r="P224" s="616"/>
      <c r="Q224" s="575"/>
      <c r="R224" s="3"/>
      <c r="W224" s="3" t="b">
        <f t="shared" si="23"/>
        <v>1</v>
      </c>
      <c r="X224" s="582">
        <f t="shared" si="21"/>
        <v>0</v>
      </c>
      <c r="Y224" s="582">
        <f t="shared" si="22"/>
        <v>0</v>
      </c>
      <c r="AA224" s="3"/>
    </row>
    <row r="225" spans="1:27" ht="134.25" customHeight="1" x14ac:dyDescent="0.3">
      <c r="A225" s="337">
        <f>'Unit Data from Audit Worksheet'!A274</f>
        <v>661</v>
      </c>
      <c r="B225" s="351" t="str">
        <f>'Unit Data from Audit Worksheet'!C274</f>
        <v>OPEB
RSI</v>
      </c>
      <c r="C225" s="336"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5">
        <f>'Unit Data from Audit Worksheet'!F274</f>
        <v>0</v>
      </c>
      <c r="F225" s="350" t="str">
        <f>IF(H225=L225,"","Column L does not equal Column H")</f>
        <v/>
      </c>
      <c r="G225" s="621" t="s">
        <v>1319</v>
      </c>
      <c r="H225" s="175">
        <f>ROUND(IFERROR((L224/L223)*100,0),1)</f>
        <v>0</v>
      </c>
      <c r="I225" s="38"/>
      <c r="J225" s="339">
        <v>661</v>
      </c>
      <c r="K225" s="354" t="s">
        <v>813</v>
      </c>
      <c r="L225" s="622">
        <f>IF(D225="",E225,D225)</f>
        <v>0</v>
      </c>
      <c r="P225" s="616"/>
      <c r="Q225" s="617">
        <f>IF(H225=L225,0,1)</f>
        <v>0</v>
      </c>
      <c r="W225" s="3" t="b">
        <f t="shared" si="23"/>
        <v>1</v>
      </c>
      <c r="X225" s="582">
        <f t="shared" si="21"/>
        <v>0</v>
      </c>
      <c r="Y225" s="582">
        <f t="shared" si="22"/>
        <v>0</v>
      </c>
    </row>
    <row r="226" spans="1:27" ht="65.25" customHeight="1" x14ac:dyDescent="0.3">
      <c r="A226" s="337">
        <f>'Unit Data from Audit Worksheet'!A277</f>
        <v>371</v>
      </c>
      <c r="B226" s="351" t="str">
        <f>'Unit Data from Audit Worksheet'!C277</f>
        <v>Transfer Note</v>
      </c>
      <c r="C226" s="336" t="str">
        <f>'Unit Data from Audit Worksheet'!D277</f>
        <v>Amount of Transfers from the General Fund to the Debt Service Fund (Enter as positive)</v>
      </c>
      <c r="D226" s="356"/>
      <c r="E226" s="357">
        <f>'Unit Data from Audit Worksheet'!F277</f>
        <v>0</v>
      </c>
      <c r="F226" s="350">
        <f>IF(L226&lt;0,"Error: Enter as a positive.",)</f>
        <v>0</v>
      </c>
      <c r="G226" s="352"/>
      <c r="H226" s="349">
        <f>'Unit Data from Audit Worksheet'!I277</f>
        <v>0</v>
      </c>
      <c r="I226" s="38"/>
      <c r="J226" s="39">
        <v>371</v>
      </c>
      <c r="K226" s="347" t="s">
        <v>261</v>
      </c>
      <c r="L226" s="585">
        <f t="shared" si="20"/>
        <v>0</v>
      </c>
      <c r="P226" s="325"/>
      <c r="Q226" s="3"/>
      <c r="W226" s="3" t="b">
        <f t="shared" si="23"/>
        <v>1</v>
      </c>
      <c r="X226" s="582">
        <f t="shared" si="21"/>
        <v>0</v>
      </c>
      <c r="Y226" s="582">
        <f t="shared" si="22"/>
        <v>0</v>
      </c>
    </row>
    <row r="227" spans="1:27" ht="63" customHeight="1" x14ac:dyDescent="0.3">
      <c r="A227" s="337">
        <f>'Unit Data from Audit Worksheet'!A278</f>
        <v>513</v>
      </c>
      <c r="B227" s="351" t="str">
        <f>'Unit Data from Audit Worksheet'!C278</f>
        <v>Transfer Note</v>
      </c>
      <c r="C227" s="336" t="str">
        <f>'Unit Data from Audit Worksheet'!D278</f>
        <v>Amount of Transfers from the General Fund to the Electric Fund  (Enter as positive)</v>
      </c>
      <c r="D227" s="356"/>
      <c r="E227" s="357">
        <f>'Unit Data from Audit Worksheet'!F278</f>
        <v>0</v>
      </c>
      <c r="F227" s="350">
        <f>IF(L227&lt;0,"Error: Enter as a positive.",)</f>
        <v>0</v>
      </c>
      <c r="G227" s="352"/>
      <c r="H227" s="349">
        <f>'Unit Data from Audit Worksheet'!I278</f>
        <v>0</v>
      </c>
      <c r="I227" s="38"/>
      <c r="J227" s="348">
        <v>513</v>
      </c>
      <c r="K227" s="347" t="s">
        <v>262</v>
      </c>
      <c r="L227" s="585">
        <f t="shared" si="20"/>
        <v>0</v>
      </c>
      <c r="P227" s="319"/>
      <c r="W227" s="3" t="b">
        <f t="shared" si="23"/>
        <v>1</v>
      </c>
      <c r="X227" s="582">
        <f t="shared" si="21"/>
        <v>0</v>
      </c>
      <c r="Y227" s="582">
        <f t="shared" si="22"/>
        <v>0</v>
      </c>
    </row>
    <row r="228" spans="1:27" ht="89.25" customHeight="1" x14ac:dyDescent="0.3">
      <c r="A228" s="337">
        <f>'Unit Data from Audit Worksheet'!A279</f>
        <v>514</v>
      </c>
      <c r="B228" s="351" t="str">
        <f>'Unit Data from Audit Worksheet'!C279</f>
        <v>Transfer Note</v>
      </c>
      <c r="C228" s="336" t="str">
        <f>'Unit Data from Audit Worksheet'!D279</f>
        <v>Amount of Transfers from the Electric Fund to the General Fund  (Enter as positive)
Include:  Payment in Lieu of Taxes (PILOT)</v>
      </c>
      <c r="D228" s="356"/>
      <c r="E228" s="357">
        <f>'Unit Data from Audit Worksheet'!F279</f>
        <v>0</v>
      </c>
      <c r="F228" s="350">
        <f>IF(L228&lt;0,"Error: Enter as a positive.",)</f>
        <v>0</v>
      </c>
      <c r="G228" s="352"/>
      <c r="H228" s="349">
        <f>'Unit Data from Audit Worksheet'!I279</f>
        <v>0</v>
      </c>
      <c r="I228" s="38"/>
      <c r="J228" s="348">
        <v>514</v>
      </c>
      <c r="K228" s="347" t="s">
        <v>263</v>
      </c>
      <c r="L228" s="585">
        <f t="shared" si="20"/>
        <v>0</v>
      </c>
      <c r="P228" s="319"/>
      <c r="W228" s="3" t="b">
        <f t="shared" si="23"/>
        <v>1</v>
      </c>
      <c r="X228" s="582">
        <f t="shared" si="21"/>
        <v>0</v>
      </c>
      <c r="Y228" s="582">
        <f t="shared" si="22"/>
        <v>0</v>
      </c>
    </row>
    <row r="229" spans="1:27" ht="89.25" customHeight="1" x14ac:dyDescent="0.3">
      <c r="A229" s="601">
        <f>'Unit Data from Audit Worksheet'!A280</f>
        <v>990</v>
      </c>
      <c r="B229" s="355" t="str">
        <f>'Unit Data from Audit Worksheet'!C280</f>
        <v>Transfer Note</v>
      </c>
      <c r="C229" s="602" t="str">
        <f>'Unit Data from Audit Worksheet'!D280</f>
        <v>Amount of transfer out to the General Fund that is for Payment in Lieu of Taxes (PILOT)</v>
      </c>
      <c r="D229" s="356"/>
      <c r="E229" s="357">
        <f>'Unit Data from Audit Worksheet'!F280</f>
        <v>0</v>
      </c>
      <c r="F229" s="350"/>
      <c r="G229" s="352"/>
      <c r="H229" s="349">
        <f>'Unit Data from Audit Worksheet'!I280</f>
        <v>0</v>
      </c>
      <c r="I229" s="38"/>
      <c r="J229" s="366">
        <v>990</v>
      </c>
      <c r="K229" s="126" t="s">
        <v>1035</v>
      </c>
      <c r="L229" s="585">
        <f t="shared" si="20"/>
        <v>0</v>
      </c>
      <c r="P229" s="319"/>
      <c r="X229" s="582"/>
      <c r="Y229" s="582"/>
    </row>
    <row r="230" spans="1:27" ht="84.75" customHeight="1" x14ac:dyDescent="0.3">
      <c r="A230" s="623">
        <f>'Unit Data from Audit Worksheet'!A282</f>
        <v>6</v>
      </c>
      <c r="B230" s="53" t="str">
        <f>'Unit Data from Audit Worksheet'!C282</f>
        <v>Fund Balance Note</v>
      </c>
      <c r="C230" s="595" t="str">
        <f>'Unit Data from Audit Worksheet'!D282</f>
        <v>General Fund -  Total Encumbrances.  You will probably have to refer to the note disclosure where the amount of encumbrances is listed.</v>
      </c>
      <c r="D230" s="356"/>
      <c r="E230" s="154">
        <f>'Unit Data from Audit Worksheet'!F282</f>
        <v>0</v>
      </c>
      <c r="F230" s="37">
        <f>IF(L230&lt;0,"Error: Enter as a positive.",)</f>
        <v>0</v>
      </c>
      <c r="G230" s="73"/>
      <c r="H230" s="349">
        <f>'Unit Data from Audit Worksheet'!I282</f>
        <v>0</v>
      </c>
      <c r="I230" s="38"/>
      <c r="J230" s="41">
        <v>6</v>
      </c>
      <c r="K230" s="133" t="s">
        <v>264</v>
      </c>
      <c r="L230" s="585">
        <f t="shared" si="20"/>
        <v>0</v>
      </c>
      <c r="P230" s="319"/>
      <c r="W230" s="3" t="b">
        <f t="shared" ref="W230:W258" si="24">EXACT(A230,J230)</f>
        <v>1</v>
      </c>
      <c r="X230" s="582">
        <f t="shared" si="21"/>
        <v>0</v>
      </c>
      <c r="Y230" s="582">
        <f t="shared" si="22"/>
        <v>0</v>
      </c>
    </row>
    <row r="231" spans="1:27" ht="117.75" customHeight="1" x14ac:dyDescent="0.3">
      <c r="A231" s="337">
        <f>'Unit Data from Audit Worksheet'!A284</f>
        <v>541</v>
      </c>
      <c r="B231" s="351" t="str">
        <f>'Unit Data from Audit Worksheet'!C284</f>
        <v>Water Sewer - Budget Actual Statement</v>
      </c>
      <c r="C231" s="351"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6"/>
      <c r="E231" s="357">
        <f>'Unit Data from Audit Worksheet'!F284</f>
        <v>0</v>
      </c>
      <c r="F231" s="350"/>
      <c r="G231" s="352"/>
      <c r="H231" s="349">
        <f>'Unit Data from Audit Worksheet'!I284</f>
        <v>0</v>
      </c>
      <c r="I231" s="38"/>
      <c r="J231" s="348">
        <v>541</v>
      </c>
      <c r="K231" s="88" t="s">
        <v>554</v>
      </c>
      <c r="L231" s="585">
        <f t="shared" si="20"/>
        <v>0</v>
      </c>
      <c r="P231" s="319"/>
      <c r="W231" s="3" t="b">
        <f t="shared" si="24"/>
        <v>1</v>
      </c>
      <c r="X231" s="582">
        <f t="shared" si="21"/>
        <v>0</v>
      </c>
      <c r="Y231" s="582">
        <f t="shared" si="22"/>
        <v>0</v>
      </c>
    </row>
    <row r="232" spans="1:27" ht="94.5" customHeight="1" x14ac:dyDescent="0.3">
      <c r="A232" s="337">
        <f>'Unit Data from Audit Worksheet'!A286</f>
        <v>542</v>
      </c>
      <c r="B232" s="351" t="str">
        <f>'Unit Data from Audit Worksheet'!C286</f>
        <v>Water Sewer - Disclosed in the Notes or in the recently approved Budget for next year.</v>
      </c>
      <c r="C232" s="336" t="str">
        <f>'Unit Data from Audit Worksheet'!D286</f>
        <v>Amount of the Water Sewer Fund Balance appropriated in next year's budget?</v>
      </c>
      <c r="D232" s="356"/>
      <c r="E232" s="357">
        <f>'Unit Data from Audit Worksheet'!F286</f>
        <v>0</v>
      </c>
      <c r="F232" s="350"/>
      <c r="G232" s="352"/>
      <c r="H232" s="349">
        <f>'Unit Data from Audit Worksheet'!I286</f>
        <v>0</v>
      </c>
      <c r="I232" s="38"/>
      <c r="J232" s="348">
        <v>542</v>
      </c>
      <c r="K232" s="347" t="s">
        <v>265</v>
      </c>
      <c r="L232" s="585">
        <f t="shared" si="20"/>
        <v>0</v>
      </c>
      <c r="N232" s="61" t="s">
        <v>545</v>
      </c>
      <c r="P232" s="319"/>
      <c r="W232" s="3" t="b">
        <f t="shared" si="24"/>
        <v>1</v>
      </c>
      <c r="X232" s="582">
        <f t="shared" si="21"/>
        <v>0</v>
      </c>
      <c r="Y232" s="582">
        <f t="shared" si="22"/>
        <v>0</v>
      </c>
    </row>
    <row r="233" spans="1:27" ht="93.75" customHeight="1" x14ac:dyDescent="0.3">
      <c r="A233" s="337">
        <f>'Unit Data from Audit Worksheet'!A289</f>
        <v>528</v>
      </c>
      <c r="B233" s="351" t="str">
        <f>'Unit Data from Audit Worksheet'!C289</f>
        <v>Analysis of Current Tax Levy Schedule</v>
      </c>
      <c r="C233" s="336" t="str">
        <f>'Unit Data from Audit Worksheet'!D289</f>
        <v>Please enter the Net Current year's levy for property excluding registered motor vehicles-- (after adjusting for discoveries and abatements)
Exclude Supplemental Taxes</v>
      </c>
      <c r="D233" s="356"/>
      <c r="E233" s="357">
        <f>'Unit Data from Audit Worksheet'!F289</f>
        <v>0</v>
      </c>
      <c r="F233" s="82" t="str">
        <f>IF(L233=0,"Must be completed if unit levys taxes","")</f>
        <v>Must be completed if unit levys taxes</v>
      </c>
      <c r="G233" s="352"/>
      <c r="H233" s="349"/>
      <c r="I233" s="38"/>
      <c r="J233" s="348">
        <v>528</v>
      </c>
      <c r="K233" s="624" t="s">
        <v>270</v>
      </c>
      <c r="L233" s="585">
        <f t="shared" si="20"/>
        <v>0</v>
      </c>
      <c r="N233" s="83"/>
      <c r="P233" s="319"/>
      <c r="W233" s="3" t="b">
        <f t="shared" si="24"/>
        <v>1</v>
      </c>
      <c r="X233" s="582">
        <f t="shared" si="21"/>
        <v>0</v>
      </c>
      <c r="Y233" s="582">
        <f t="shared" si="22"/>
        <v>0</v>
      </c>
    </row>
    <row r="234" spans="1:27" s="18" customFormat="1" ht="79.5" customHeight="1" x14ac:dyDescent="0.3">
      <c r="A234" s="337">
        <f>'Unit Data from Audit Worksheet'!A290</f>
        <v>529</v>
      </c>
      <c r="B234" s="351" t="str">
        <f>'Unit Data from Audit Worksheet'!C290</f>
        <v>Analysis of Current Tax Levy Schedule</v>
      </c>
      <c r="C234" s="336" t="str">
        <f>'Unit Data from Audit Worksheet'!D290</f>
        <v>Please enter the Net Current year's levy -- Motor vehicles (only) (after adjusting for discoveries and abatements)
Exclude supplemental taxes</v>
      </c>
      <c r="D234" s="356"/>
      <c r="E234" s="357">
        <f>'Unit Data from Audit Worksheet'!F290</f>
        <v>0</v>
      </c>
      <c r="F234" s="82" t="str">
        <f>IF(L234=0,"Must be completed if unit levys taxes","")</f>
        <v>Must be completed if unit levys taxes</v>
      </c>
      <c r="G234" s="352"/>
      <c r="H234" s="349"/>
      <c r="I234" s="38"/>
      <c r="J234" s="348">
        <v>529</v>
      </c>
      <c r="K234" s="624" t="s">
        <v>271</v>
      </c>
      <c r="L234" s="585">
        <f t="shared" si="20"/>
        <v>0</v>
      </c>
      <c r="N234" s="83"/>
      <c r="P234" s="319"/>
      <c r="Q234" s="575"/>
      <c r="R234" s="3"/>
      <c r="W234" s="3" t="b">
        <f t="shared" si="24"/>
        <v>1</v>
      </c>
      <c r="X234" s="582">
        <f t="shared" si="21"/>
        <v>0</v>
      </c>
      <c r="Y234" s="582">
        <f t="shared" si="22"/>
        <v>0</v>
      </c>
      <c r="AA234" s="3"/>
    </row>
    <row r="235" spans="1:27" s="18" customFormat="1" ht="75" customHeight="1" x14ac:dyDescent="0.3">
      <c r="A235" s="337">
        <f>'Unit Data from Audit Worksheet'!A291</f>
        <v>530</v>
      </c>
      <c r="B235" s="351" t="str">
        <f>'Unit Data from Audit Worksheet'!C291</f>
        <v>Analysis of Current Tax Levy Schedule</v>
      </c>
      <c r="C235" s="336" t="str">
        <f>'Unit Data from Audit Worksheet'!D291</f>
        <v>Uncollected Taxes - Curr Year's Levy Exclude Motor Vehicles
Exclude supplemental taxes</v>
      </c>
      <c r="D235" s="356"/>
      <c r="E235" s="357">
        <f>'Unit Data from Audit Worksheet'!F291</f>
        <v>0</v>
      </c>
      <c r="F235" s="82" t="str">
        <f>IF(L235=0,"Must be completed if unit levys taxes","")</f>
        <v>Must be completed if unit levys taxes</v>
      </c>
      <c r="G235" s="352"/>
      <c r="H235" s="349"/>
      <c r="I235" s="38"/>
      <c r="J235" s="348">
        <v>530</v>
      </c>
      <c r="K235" s="624" t="s">
        <v>272</v>
      </c>
      <c r="L235" s="585">
        <f t="shared" ref="L235:L241" si="25">IF(D235="",E235,D235)</f>
        <v>0</v>
      </c>
      <c r="N235" s="83"/>
      <c r="P235" s="319"/>
      <c r="Q235" s="575"/>
      <c r="R235" s="3"/>
      <c r="W235" s="3" t="b">
        <f t="shared" si="24"/>
        <v>1</v>
      </c>
      <c r="X235" s="582">
        <f t="shared" si="21"/>
        <v>0</v>
      </c>
      <c r="Y235" s="582">
        <f t="shared" si="22"/>
        <v>0</v>
      </c>
      <c r="AA235" s="3"/>
    </row>
    <row r="236" spans="1:27" s="18" customFormat="1" ht="68.25" customHeight="1" x14ac:dyDescent="0.3">
      <c r="A236" s="337">
        <f>'Unit Data from Audit Worksheet'!A292</f>
        <v>531</v>
      </c>
      <c r="B236" s="351" t="str">
        <f>'Unit Data from Audit Worksheet'!C292</f>
        <v>Analysis of Current Tax Levy Schedule</v>
      </c>
      <c r="C236" s="336" t="str">
        <f>'Unit Data from Audit Worksheet'!D292</f>
        <v>Uncollected Taxes - Curr Year's Levy Motor Vehicles
Exclude supplemental taxes</v>
      </c>
      <c r="D236" s="356"/>
      <c r="E236" s="357">
        <f>'Unit Data from Audit Worksheet'!F292</f>
        <v>0</v>
      </c>
      <c r="F236" s="82" t="str">
        <f>IF(L236=0,"Must be completed if unit levys taxes","")</f>
        <v>Must be completed if unit levys taxes</v>
      </c>
      <c r="G236" s="352"/>
      <c r="H236" s="349"/>
      <c r="I236" s="38"/>
      <c r="J236" s="348">
        <v>531</v>
      </c>
      <c r="K236" s="624" t="s">
        <v>273</v>
      </c>
      <c r="L236" s="585">
        <f t="shared" si="25"/>
        <v>0</v>
      </c>
      <c r="N236" s="83" t="str">
        <f>IF(T240=0,"Must be completed if unit levys taxes, zero acceptable if Motor Vehicle collection rate is 100%","")</f>
        <v>Must be completed if unit levys taxes, zero acceptable if Motor Vehicle collection rate is 100%</v>
      </c>
      <c r="P236" s="319"/>
      <c r="Q236" s="575"/>
      <c r="R236" s="3"/>
      <c r="W236" s="3" t="b">
        <f t="shared" si="24"/>
        <v>1</v>
      </c>
      <c r="X236" s="582">
        <f t="shared" si="21"/>
        <v>0</v>
      </c>
      <c r="Y236" s="582">
        <f t="shared" si="22"/>
        <v>0</v>
      </c>
      <c r="AA236" s="3"/>
    </row>
    <row r="237" spans="1:27" ht="90.75" customHeight="1" x14ac:dyDescent="0.3">
      <c r="A237" s="337">
        <f>'Unit Data from Audit Worksheet'!A293</f>
        <v>61</v>
      </c>
      <c r="B237" s="351" t="str">
        <f>'Unit Data from Audit Worksheet'!C293</f>
        <v>Analysis of Current Tax Levy Schedule</v>
      </c>
      <c r="C237" s="336"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2" t="str">
        <f>IF(Q237=1," Included in error count"," ")</f>
        <v xml:space="preserve"> </v>
      </c>
      <c r="H237" s="352">
        <f>ROUND(IFERROR(((L233+L234)-(L235+L236))/(L233+L234)*100,0),2)</f>
        <v>0</v>
      </c>
      <c r="I237" s="38"/>
      <c r="J237" s="348">
        <v>61</v>
      </c>
      <c r="K237" s="58" t="s">
        <v>267</v>
      </c>
      <c r="L237" s="625">
        <f t="shared" si="25"/>
        <v>0</v>
      </c>
      <c r="N237" s="83"/>
      <c r="P237" s="319"/>
      <c r="Q237" s="575">
        <f>IF(L237-H237&lt;&gt;0,1,0)</f>
        <v>0</v>
      </c>
      <c r="W237" s="3" t="b">
        <f t="shared" si="24"/>
        <v>1</v>
      </c>
      <c r="X237" s="582">
        <f t="shared" si="21"/>
        <v>0</v>
      </c>
      <c r="Y237" s="582">
        <f t="shared" si="22"/>
        <v>0</v>
      </c>
    </row>
    <row r="238" spans="1:27" ht="89.25" customHeight="1" x14ac:dyDescent="0.3">
      <c r="A238" s="337">
        <f>'Unit Data from Audit Worksheet'!A294</f>
        <v>102</v>
      </c>
      <c r="B238" s="351" t="str">
        <f>'Unit Data from Audit Worksheet'!C294</f>
        <v>Analysis of Current Tax Levy Schedule</v>
      </c>
      <c r="C238" s="336"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2" t="str">
        <f>IF(Q238=1," Included in error count"," ")</f>
        <v xml:space="preserve"> </v>
      </c>
      <c r="H238" s="352">
        <f>ROUND(IFERROR(((L233)-(L235))/(L233)*100,0),2)</f>
        <v>0</v>
      </c>
      <c r="I238" s="38"/>
      <c r="J238" s="348">
        <v>102</v>
      </c>
      <c r="K238" s="58" t="s">
        <v>268</v>
      </c>
      <c r="L238" s="625">
        <f t="shared" si="25"/>
        <v>0</v>
      </c>
      <c r="N238" s="83"/>
      <c r="P238" s="319"/>
      <c r="Q238" s="575">
        <f>IF(L238-H238&lt;&gt;0,1,0)</f>
        <v>0</v>
      </c>
      <c r="W238" s="3" t="b">
        <f t="shared" si="24"/>
        <v>1</v>
      </c>
      <c r="X238" s="582">
        <f t="shared" si="21"/>
        <v>0</v>
      </c>
      <c r="Y238" s="582">
        <f t="shared" si="22"/>
        <v>0</v>
      </c>
    </row>
    <row r="239" spans="1:27" ht="87.75" customHeight="1" x14ac:dyDescent="0.3">
      <c r="A239" s="337">
        <f>'Unit Data from Audit Worksheet'!A295</f>
        <v>103</v>
      </c>
      <c r="B239" s="351" t="str">
        <f>'Unit Data from Audit Worksheet'!C295</f>
        <v>Analysis of Current Tax Levy Schedule</v>
      </c>
      <c r="C239" s="336"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2" t="str">
        <f>IF(Q239=1," Included in error count"," ")</f>
        <v xml:space="preserve"> </v>
      </c>
      <c r="H239" s="352">
        <f>ROUND(IFERROR(((L234)-(L236))/(L234)*100,0),2)</f>
        <v>0</v>
      </c>
      <c r="I239" s="38"/>
      <c r="J239" s="348">
        <v>103</v>
      </c>
      <c r="K239" s="58" t="s">
        <v>269</v>
      </c>
      <c r="L239" s="625">
        <f t="shared" si="25"/>
        <v>0</v>
      </c>
      <c r="N239" s="83"/>
      <c r="P239" s="319"/>
      <c r="Q239" s="575">
        <f>IF(L239-H239&lt;&gt;0,1,0)</f>
        <v>0</v>
      </c>
      <c r="W239" s="3" t="b">
        <f t="shared" si="24"/>
        <v>1</v>
      </c>
      <c r="X239" s="582">
        <f t="shared" si="21"/>
        <v>0</v>
      </c>
      <c r="Y239" s="582">
        <f t="shared" si="22"/>
        <v>0</v>
      </c>
    </row>
    <row r="240" spans="1:27" ht="86.25" customHeight="1" x14ac:dyDescent="0.3">
      <c r="A240" s="337">
        <f>'Unit Data from Audit Worksheet'!A296</f>
        <v>544</v>
      </c>
      <c r="B240" s="351" t="str">
        <f>'Unit Data from Audit Worksheet'!C296</f>
        <v>Analysis of Current Tax Levy Schedule</v>
      </c>
      <c r="C240" s="336" t="str">
        <f>'Unit Data from Audit Worksheet'!D296</f>
        <v>Property Tax Increase for Year Audited- enter amount of  increase in cents per $100 - leave blank if no increase 
Exclude supplemental taxes</v>
      </c>
      <c r="D240" s="356"/>
      <c r="E240" s="148">
        <f>'Unit Data from Audit Worksheet'!F296</f>
        <v>0</v>
      </c>
      <c r="F240" s="104"/>
      <c r="G240" s="352"/>
      <c r="H240" s="349">
        <f>'Unit Data from Audit Worksheet'!I296</f>
        <v>0</v>
      </c>
      <c r="I240" s="38"/>
      <c r="J240" s="348">
        <v>544</v>
      </c>
      <c r="K240" s="58" t="s">
        <v>53</v>
      </c>
      <c r="L240" s="626">
        <f t="shared" si="25"/>
        <v>0</v>
      </c>
      <c r="N240" s="61" t="s">
        <v>545</v>
      </c>
      <c r="P240" s="319"/>
      <c r="W240" s="3" t="b">
        <f t="shared" si="24"/>
        <v>1</v>
      </c>
      <c r="X240" s="582">
        <f t="shared" si="21"/>
        <v>0</v>
      </c>
      <c r="Y240" s="582">
        <f t="shared" si="22"/>
        <v>0</v>
      </c>
    </row>
    <row r="241" spans="1:25" ht="93.75" customHeight="1" x14ac:dyDescent="0.3">
      <c r="A241" s="337">
        <f>'Unit Data from Audit Worksheet'!A297</f>
        <v>545</v>
      </c>
      <c r="B241" s="351" t="str">
        <f>'Unit Data from Audit Worksheet'!C297</f>
        <v>Analysis of Current Tax Levy Schedule</v>
      </c>
      <c r="C241" s="336" t="str">
        <f>'Unit Data from Audit Worksheet'!D297</f>
        <v>Property Tax Increase for budget year after fiscal year being reported - enter amount of increase in cents per $100- leave blank if no increase
Exclude supplemental taxes</v>
      </c>
      <c r="D241" s="356"/>
      <c r="E241" s="148">
        <f>'Unit Data from Audit Worksheet'!F297</f>
        <v>0</v>
      </c>
      <c r="F241" s="350"/>
      <c r="G241" s="352"/>
      <c r="H241" s="349">
        <f>'Unit Data from Audit Worksheet'!I297</f>
        <v>0</v>
      </c>
      <c r="I241" s="38"/>
      <c r="J241" s="105">
        <v>545</v>
      </c>
      <c r="K241" s="58" t="s">
        <v>54</v>
      </c>
      <c r="L241" s="626">
        <f t="shared" si="25"/>
        <v>0</v>
      </c>
      <c r="N241" s="61" t="s">
        <v>545</v>
      </c>
      <c r="O241" s="594"/>
      <c r="P241" s="320"/>
      <c r="W241" s="3" t="b">
        <f t="shared" si="24"/>
        <v>1</v>
      </c>
      <c r="X241" s="582">
        <f t="shared" si="21"/>
        <v>0</v>
      </c>
      <c r="Y241" s="582">
        <f t="shared" si="22"/>
        <v>0</v>
      </c>
    </row>
    <row r="242" spans="1:25" ht="72.75" customHeight="1" x14ac:dyDescent="0.3">
      <c r="A242" s="337">
        <f>'Unit Data from Audit Worksheet'!A298</f>
        <v>624</v>
      </c>
      <c r="B242" s="351"/>
      <c r="C242" s="336" t="str">
        <f>'Unit Data from Audit Worksheet'!D298</f>
        <v>Does the County collect real estate property taxes on your behalf? Select "1" for "yes and "2" for "No"</v>
      </c>
      <c r="D242" s="356"/>
      <c r="E242" s="156">
        <f>'Unit Data from Audit Worksheet'!F298</f>
        <v>0</v>
      </c>
      <c r="F242" s="350"/>
      <c r="G242" s="352"/>
      <c r="H242" s="349"/>
      <c r="I242" s="38"/>
      <c r="J242" s="105">
        <v>624</v>
      </c>
      <c r="K242" s="58" t="s">
        <v>714</v>
      </c>
      <c r="L242" s="585">
        <f t="shared" ref="L242:L258" si="26">IF(D242="",E242,D242)</f>
        <v>0</v>
      </c>
      <c r="P242" s="320"/>
      <c r="W242" s="3" t="b">
        <f t="shared" si="24"/>
        <v>1</v>
      </c>
      <c r="X242" s="582">
        <f t="shared" si="21"/>
        <v>0</v>
      </c>
      <c r="Y242" s="582">
        <f t="shared" si="22"/>
        <v>0</v>
      </c>
    </row>
    <row r="243" spans="1:25" ht="72.75" customHeight="1" x14ac:dyDescent="0.3">
      <c r="A243" s="337">
        <f>'Unit Data from Audit Worksheet'!A299</f>
        <v>648</v>
      </c>
      <c r="B243" s="351"/>
      <c r="C243" s="336" t="str">
        <f>'Unit Data from Audit Worksheet'!D299</f>
        <v>Please enter your tax rate for ad valorem in effect for fiscal year audited.  Example 60 cents per 100 would be entered as .60</v>
      </c>
      <c r="D243" s="356"/>
      <c r="E243" s="156">
        <f>'Unit Data from Audit Worksheet'!F299</f>
        <v>0</v>
      </c>
      <c r="F243" s="350"/>
      <c r="G243" s="352"/>
      <c r="H243" s="349"/>
      <c r="I243" s="38"/>
      <c r="J243" s="105">
        <v>648</v>
      </c>
      <c r="K243" s="627" t="s">
        <v>1120</v>
      </c>
      <c r="L243" s="628">
        <f t="shared" si="26"/>
        <v>0</v>
      </c>
      <c r="P243" s="320"/>
      <c r="W243" s="3" t="b">
        <f t="shared" si="24"/>
        <v>1</v>
      </c>
      <c r="X243" s="582"/>
      <c r="Y243" s="582"/>
    </row>
    <row r="244" spans="1:25" ht="161.25" customHeight="1" x14ac:dyDescent="0.3">
      <c r="A244" s="601">
        <f>'Unit Data from Audit Worksheet'!A300</f>
        <v>991</v>
      </c>
      <c r="B244" s="355"/>
      <c r="C244" s="602"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6"/>
      <c r="E244" s="156">
        <f>'Unit Data from Audit Worksheet'!F300</f>
        <v>0</v>
      </c>
      <c r="F244" s="350"/>
      <c r="G244" s="352"/>
      <c r="H244" s="349" t="str">
        <f>'Unit Data from Audit Worksheet'!H300</f>
        <v>Avery, Bladen, Chowan, Craven, Duplin, Guilford, Harnett, Hoke, Jones, Mitchell, Onslow, Pasquotank, Watauga</v>
      </c>
      <c r="I244" s="38"/>
      <c r="J244" s="334">
        <v>991</v>
      </c>
      <c r="K244" s="612" t="s">
        <v>1692</v>
      </c>
      <c r="L244" s="585">
        <f t="shared" si="26"/>
        <v>0</v>
      </c>
      <c r="P244" s="320"/>
      <c r="W244" s="3" t="b">
        <f t="shared" si="24"/>
        <v>1</v>
      </c>
      <c r="X244" s="582"/>
      <c r="Y244" s="582"/>
    </row>
    <row r="245" spans="1:25" ht="87.75" customHeight="1" x14ac:dyDescent="0.3">
      <c r="A245" s="337">
        <f>'Unit Data from Audit Worksheet'!A302</f>
        <v>620</v>
      </c>
      <c r="B245" s="351"/>
      <c r="C245" s="336" t="str">
        <f>'Unit Data from Audit Worksheet'!D302</f>
        <v>Do you expect to issue debt requiring LGC approval within 12 months from the date that the audit is submitted - select "1" for yes and "2" for no</v>
      </c>
      <c r="D245" s="356"/>
      <c r="E245" s="156">
        <f>'Unit Data from Audit Worksheet'!F302</f>
        <v>0</v>
      </c>
      <c r="F245" s="350"/>
      <c r="G245" s="352"/>
      <c r="H245" s="349">
        <f>'Unit Data from Audit Worksheet'!I302</f>
        <v>0</v>
      </c>
      <c r="I245" s="38"/>
      <c r="J245" s="105">
        <v>620</v>
      </c>
      <c r="K245" s="58" t="s">
        <v>1109</v>
      </c>
      <c r="L245" s="585">
        <f t="shared" si="26"/>
        <v>0</v>
      </c>
      <c r="N245" s="138"/>
      <c r="P245" s="320"/>
      <c r="W245" s="3" t="b">
        <f t="shared" si="24"/>
        <v>1</v>
      </c>
      <c r="X245" s="582">
        <f t="shared" si="21"/>
        <v>0</v>
      </c>
      <c r="Y245" s="582">
        <f t="shared" si="22"/>
        <v>0</v>
      </c>
    </row>
    <row r="246" spans="1:25" ht="87.75" customHeight="1" x14ac:dyDescent="0.3">
      <c r="A246" s="601">
        <f>+'TD Info Completed by Auditor'!D41</f>
        <v>906</v>
      </c>
      <c r="B246" s="333" t="s">
        <v>1106</v>
      </c>
      <c r="C246" s="601" t="str">
        <f>+'TD Info Completed by Auditor'!E41</f>
        <v>Is the Independent Auditor's Report Opinion Unmodified?</v>
      </c>
      <c r="D246" s="356"/>
      <c r="E246" s="339">
        <f>IF(+'TD Info Completed by Auditor'!G41="Yes",1,IF(+'TD Info Completed by Auditor'!G41="No",2,IF(+'TD Info Completed by Auditor'!G41="N/A",3,0)))</f>
        <v>0</v>
      </c>
      <c r="F246" s="350"/>
      <c r="G246" s="352"/>
      <c r="H246" s="349"/>
      <c r="I246" s="38"/>
      <c r="J246" s="127">
        <v>906</v>
      </c>
      <c r="K246" s="612" t="s">
        <v>903</v>
      </c>
      <c r="L246" s="585">
        <f t="shared" si="26"/>
        <v>0</v>
      </c>
      <c r="N246" s="138" t="s">
        <v>1320</v>
      </c>
      <c r="P246" s="322"/>
      <c r="W246" s="3" t="b">
        <f t="shared" si="24"/>
        <v>1</v>
      </c>
      <c r="X246" s="582"/>
      <c r="Y246" s="582"/>
    </row>
    <row r="247" spans="1:25" ht="87.75" customHeight="1" x14ac:dyDescent="0.3">
      <c r="A247" s="601">
        <f>+'TD Info Completed by Auditor'!D43</f>
        <v>907</v>
      </c>
      <c r="B247" s="333" t="s">
        <v>1106</v>
      </c>
      <c r="C247" s="601" t="str">
        <f>+'TD Info Completed by Auditor'!E43</f>
        <v xml:space="preserve">Is there a finding for lack of segregation of duties at this unit? </v>
      </c>
      <c r="D247" s="356"/>
      <c r="E247" s="339">
        <f>IF(+'TD Info Completed by Auditor'!G43="Yes",1,IF(+'TD Info Completed by Auditor'!G43="No",2,IF(+'TD Info Completed by Auditor'!G43="N/A",3,0)))</f>
        <v>0</v>
      </c>
      <c r="F247" s="350"/>
      <c r="G247" s="352"/>
      <c r="H247" s="349"/>
      <c r="I247" s="38"/>
      <c r="J247" s="127">
        <v>907</v>
      </c>
      <c r="K247" s="612" t="s">
        <v>904</v>
      </c>
      <c r="L247" s="585">
        <f t="shared" si="26"/>
        <v>0</v>
      </c>
      <c r="N247" s="138" t="s">
        <v>1320</v>
      </c>
      <c r="P247" s="322"/>
      <c r="W247" s="3" t="b">
        <f t="shared" si="24"/>
        <v>1</v>
      </c>
      <c r="X247" s="582"/>
      <c r="Y247" s="582"/>
    </row>
    <row r="248" spans="1:25" ht="87.75" customHeight="1" x14ac:dyDescent="0.3">
      <c r="A248" s="601">
        <f>+'TD Info Completed by Auditor'!D45</f>
        <v>951</v>
      </c>
      <c r="B248" s="333" t="s">
        <v>1106</v>
      </c>
      <c r="C248" s="602" t="str">
        <f>+'TD Info Completed by Auditor'!E45</f>
        <v>Is there a finding for lack of technical skills, knowledge and experience (SKE) at this unit?</v>
      </c>
      <c r="D248" s="356"/>
      <c r="E248" s="339">
        <f>IF(+'TD Info Completed by Auditor'!G45="Yes",1,IF(+'TD Info Completed by Auditor'!G45="No",2,IF(+'TD Info Completed by Auditor'!G45="N/A",3,0)))</f>
        <v>0</v>
      </c>
      <c r="F248" s="350"/>
      <c r="G248" s="352"/>
      <c r="H248" s="349"/>
      <c r="I248" s="38"/>
      <c r="J248" s="127">
        <v>951</v>
      </c>
      <c r="K248" s="612" t="s">
        <v>905</v>
      </c>
      <c r="L248" s="585">
        <f t="shared" si="26"/>
        <v>0</v>
      </c>
      <c r="N248" s="138" t="s">
        <v>1320</v>
      </c>
      <c r="P248" s="322"/>
      <c r="W248" s="3" t="b">
        <f t="shared" si="24"/>
        <v>1</v>
      </c>
      <c r="X248" s="582"/>
      <c r="Y248" s="582"/>
    </row>
    <row r="249" spans="1:25" ht="87.75" customHeight="1" x14ac:dyDescent="0.3">
      <c r="A249" s="601">
        <f>+'TD Info Completed by Auditor'!D47</f>
        <v>953</v>
      </c>
      <c r="B249" s="333" t="s">
        <v>1106</v>
      </c>
      <c r="C249" s="602" t="str">
        <f>+'TD Info Completed by Auditor'!E47</f>
        <v xml:space="preserve">Is there is a going concern finding noted in the audit report? </v>
      </c>
      <c r="D249" s="356"/>
      <c r="E249" s="339">
        <f>IF(+'TD Info Completed by Auditor'!G47="Yes",1,IF(+'TD Info Completed by Auditor'!G47="No",2,IF(+'TD Info Completed by Auditor'!G47="N/A",3,0)))</f>
        <v>0</v>
      </c>
      <c r="F249" s="350"/>
      <c r="G249" s="352"/>
      <c r="H249" s="349"/>
      <c r="I249" s="38"/>
      <c r="J249" s="127">
        <v>953</v>
      </c>
      <c r="K249" s="612" t="s">
        <v>1566</v>
      </c>
      <c r="L249" s="585">
        <f t="shared" si="26"/>
        <v>0</v>
      </c>
      <c r="N249" s="138" t="s">
        <v>1320</v>
      </c>
      <c r="P249" s="322"/>
      <c r="W249" s="3" t="b">
        <f t="shared" si="24"/>
        <v>1</v>
      </c>
      <c r="X249" s="582"/>
      <c r="Y249" s="582"/>
    </row>
    <row r="250" spans="1:25" ht="87.75" customHeight="1" x14ac:dyDescent="0.3">
      <c r="A250" s="601">
        <f>+'TD Info Completed by Auditor'!D49</f>
        <v>955</v>
      </c>
      <c r="B250" s="333" t="s">
        <v>1106</v>
      </c>
      <c r="C250" s="602" t="str">
        <f>+'TD Info Completed by Auditor'!E49</f>
        <v>Number of significant deficiency findings (other than in Questions 15-18 )</v>
      </c>
      <c r="D250" s="356"/>
      <c r="E250" s="1174" t="str">
        <f>IF(ISBLANK('TD Info Completed by Auditor'!G49),"",'TD Info Completed by Auditor'!G49)</f>
        <v/>
      </c>
      <c r="F250" s="350"/>
      <c r="G250" s="352"/>
      <c r="H250" s="1175" t="s">
        <v>1830</v>
      </c>
      <c r="I250" s="38"/>
      <c r="J250" s="127">
        <v>955</v>
      </c>
      <c r="K250" s="612" t="s">
        <v>1110</v>
      </c>
      <c r="L250" s="585" t="str">
        <f t="shared" si="26"/>
        <v/>
      </c>
      <c r="N250" s="138" t="s">
        <v>1320</v>
      </c>
      <c r="P250" s="322"/>
      <c r="W250" s="3" t="b">
        <f t="shared" si="24"/>
        <v>1</v>
      </c>
      <c r="X250" s="582"/>
      <c r="Y250" s="582"/>
    </row>
    <row r="251" spans="1:25" ht="87.75" customHeight="1" x14ac:dyDescent="0.3">
      <c r="A251" s="601">
        <f>+'TD Info Completed by Auditor'!D51</f>
        <v>957</v>
      </c>
      <c r="B251" s="333" t="s">
        <v>1106</v>
      </c>
      <c r="C251" s="602" t="str">
        <f>+'TD Info Completed by Auditor'!E51</f>
        <v>Number of material weaknesses findings (other than in Questions 15-18)</v>
      </c>
      <c r="D251" s="356"/>
      <c r="E251" s="1174" t="str">
        <f>IF(ISBLANK('TD Info Completed by Auditor'!G51),"",'TD Info Completed by Auditor'!G51)</f>
        <v/>
      </c>
      <c r="F251" s="350"/>
      <c r="G251" s="352"/>
      <c r="H251" s="1175" t="s">
        <v>1831</v>
      </c>
      <c r="I251" s="38"/>
      <c r="J251" s="127">
        <v>957</v>
      </c>
      <c r="K251" s="612" t="s">
        <v>1111</v>
      </c>
      <c r="L251" s="585" t="str">
        <f t="shared" si="26"/>
        <v/>
      </c>
      <c r="N251" s="138" t="s">
        <v>1320</v>
      </c>
      <c r="P251" s="322"/>
      <c r="W251" s="3" t="b">
        <f t="shared" si="24"/>
        <v>1</v>
      </c>
      <c r="X251" s="582"/>
      <c r="Y251" s="582"/>
    </row>
    <row r="252" spans="1:25" ht="87.75" customHeight="1" x14ac:dyDescent="0.3">
      <c r="A252" s="601">
        <f>+'TD Info Completed by Auditor'!D53</f>
        <v>959</v>
      </c>
      <c r="B252" s="333" t="s">
        <v>1106</v>
      </c>
      <c r="C252" s="602" t="str">
        <f>+'TD Info Completed by Auditor'!E53</f>
        <v>Did the Unit have debt service payments deferred or restructured in this fiscal year? (does not include refinancings designed to take advantage of lower interest rates)  Select Yes, No, or NA</v>
      </c>
      <c r="D252" s="356"/>
      <c r="E252" s="339">
        <f>IF(+'TD Info Completed by Auditor'!G53="Yes",1,IF(+'TD Info Completed by Auditor'!G53="No",2,IF(+'TD Info Completed by Auditor'!G53="N/A",3,0)))</f>
        <v>0</v>
      </c>
      <c r="F252" s="350"/>
      <c r="G252" s="352"/>
      <c r="H252" s="349"/>
      <c r="I252" s="38"/>
      <c r="J252" s="127">
        <v>959</v>
      </c>
      <c r="K252" s="612" t="s">
        <v>1322</v>
      </c>
      <c r="L252" s="585">
        <f t="shared" si="26"/>
        <v>0</v>
      </c>
      <c r="N252" s="138" t="s">
        <v>1320</v>
      </c>
      <c r="P252" s="322"/>
      <c r="W252" s="3" t="b">
        <f t="shared" si="24"/>
        <v>1</v>
      </c>
      <c r="X252" s="582"/>
      <c r="Y252" s="582"/>
    </row>
    <row r="253" spans="1:25" ht="222" customHeight="1" x14ac:dyDescent="0.3">
      <c r="A253" s="601">
        <f>+'TD Info Completed by Auditor'!D57</f>
        <v>974</v>
      </c>
      <c r="B253" s="333" t="s">
        <v>1106</v>
      </c>
      <c r="C253" s="602"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6"/>
      <c r="E253" s="339">
        <f>IF(+'TD Info Completed by Auditor'!G57="Yes",1,IF(+'TD Info Completed by Auditor'!G57="No",2,IF(+'TD Info Completed by Auditor'!G57="N/A",3,0)))</f>
        <v>0</v>
      </c>
      <c r="F253" s="350"/>
      <c r="G253" s="352"/>
      <c r="H253" s="349"/>
      <c r="I253" s="38"/>
      <c r="J253" s="127">
        <v>974</v>
      </c>
      <c r="K253" s="612" t="s">
        <v>1567</v>
      </c>
      <c r="L253" s="585">
        <f t="shared" si="26"/>
        <v>0</v>
      </c>
      <c r="N253" s="138" t="s">
        <v>1320</v>
      </c>
      <c r="P253" s="322"/>
      <c r="W253" s="3" t="b">
        <f t="shared" si="24"/>
        <v>1</v>
      </c>
      <c r="X253" s="582"/>
      <c r="Y253" s="582"/>
    </row>
    <row r="254" spans="1:25" ht="177.75" customHeight="1" x14ac:dyDescent="0.3">
      <c r="A254" s="601">
        <f>+'TD Info Completed by Auditor'!D55</f>
        <v>973</v>
      </c>
      <c r="B254" s="333" t="s">
        <v>1106</v>
      </c>
      <c r="C254" s="332"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6"/>
      <c r="E254" s="339">
        <f>+'TD Info Completed by Auditor'!G55</f>
        <v>0</v>
      </c>
      <c r="F254" s="350"/>
      <c r="G254" s="352"/>
      <c r="H254" s="349"/>
      <c r="I254" s="38"/>
      <c r="J254" s="127">
        <v>973</v>
      </c>
      <c r="K254" s="612" t="s">
        <v>1277</v>
      </c>
      <c r="L254" s="585">
        <f t="shared" si="26"/>
        <v>0</v>
      </c>
      <c r="N254" s="138" t="s">
        <v>1320</v>
      </c>
      <c r="P254" s="322"/>
      <c r="W254" s="3" t="b">
        <f t="shared" si="24"/>
        <v>1</v>
      </c>
      <c r="X254" s="582"/>
      <c r="Y254" s="582"/>
    </row>
    <row r="255" spans="1:25" ht="87.75" customHeight="1" x14ac:dyDescent="0.3">
      <c r="A255" s="601">
        <f>+'TD Info Completed by Auditor'!D60</f>
        <v>965</v>
      </c>
      <c r="B255" s="333" t="s">
        <v>1106</v>
      </c>
      <c r="C255" s="602" t="str">
        <f>+'TD Info Completed by Auditor'!E60</f>
        <v xml:space="preserve">Is the Finance Officer bonded for at least $50,000? (GS 159-42(h) </v>
      </c>
      <c r="D255" s="356"/>
      <c r="E255" s="339">
        <f>IF(+'TD Info Completed by Auditor'!G60="Yes",1,IF(+'TD Info Completed by Auditor'!G60="No",2,IF(+'TD Info Completed by Auditor'!G60="N/A",3,0)))</f>
        <v>0</v>
      </c>
      <c r="F255" s="350"/>
      <c r="G255" s="352"/>
      <c r="H255" s="349"/>
      <c r="I255" s="38"/>
      <c r="J255" s="127">
        <v>965</v>
      </c>
      <c r="K255" s="612" t="s">
        <v>910</v>
      </c>
      <c r="L255" s="585">
        <f t="shared" si="26"/>
        <v>0</v>
      </c>
      <c r="N255" s="1140"/>
      <c r="P255" s="322"/>
      <c r="W255" s="3" t="b">
        <f t="shared" si="24"/>
        <v>1</v>
      </c>
      <c r="X255" s="582"/>
      <c r="Y255" s="582"/>
    </row>
    <row r="256" spans="1:25" ht="87.75" customHeight="1" x14ac:dyDescent="0.3">
      <c r="A256" s="601">
        <f>+'TD Info Completed by Auditor'!D68</f>
        <v>977</v>
      </c>
      <c r="B256" s="333" t="s">
        <v>1106</v>
      </c>
      <c r="C256" s="602" t="str">
        <f>+'TD Info Completed by Auditor'!E68</f>
        <v>Does the entity have an  effective pre-audit process to ensure that pervasive budgetary over- expenditures do not occur at the budget ordinance level? Select Yes or No</v>
      </c>
      <c r="D256" s="356"/>
      <c r="E256" s="339">
        <f>IF(+'TD Info Completed by Auditor'!G68="Yes",1,IF(+'TD Info Completed by Auditor'!G68="No",2,0))</f>
        <v>0</v>
      </c>
      <c r="F256" s="350"/>
      <c r="G256" s="352"/>
      <c r="H256" s="349"/>
      <c r="I256" s="38"/>
      <c r="J256" s="127">
        <v>977</v>
      </c>
      <c r="K256" s="612" t="s">
        <v>1569</v>
      </c>
      <c r="L256" s="585">
        <f t="shared" si="26"/>
        <v>0</v>
      </c>
      <c r="N256" s="138" t="s">
        <v>1320</v>
      </c>
      <c r="P256" s="322"/>
      <c r="W256" s="3" t="b">
        <f t="shared" si="24"/>
        <v>1</v>
      </c>
      <c r="X256" s="582"/>
      <c r="Y256" s="582"/>
    </row>
    <row r="257" spans="1:25" ht="87.75" customHeight="1" x14ac:dyDescent="0.3">
      <c r="A257" s="601">
        <f>+'TD Info Completed by Auditor'!D70</f>
        <v>978</v>
      </c>
      <c r="B257" s="333" t="s">
        <v>1106</v>
      </c>
      <c r="C257" s="602" t="str">
        <f>+'TD Info Completed by Auditor'!E70</f>
        <v>Did the audit disclose any statutory violations in the notes that were not covered by findings?  Select Yes or No</v>
      </c>
      <c r="D257" s="356"/>
      <c r="E257" s="339" t="str">
        <f>IF(+'TD Info Completed by Auditor'!G70="Yes",1,IF(+'TD Info Completed by Auditor'!G70="No",2,IF(+'TD Info Completed by Auditor'!G70="","0")))</f>
        <v>0</v>
      </c>
      <c r="F257" s="350"/>
      <c r="G257" s="352"/>
      <c r="H257" s="349"/>
      <c r="I257" s="38"/>
      <c r="J257" s="127">
        <v>978</v>
      </c>
      <c r="K257" s="612" t="s">
        <v>1568</v>
      </c>
      <c r="L257" s="585" t="str">
        <f t="shared" si="26"/>
        <v>0</v>
      </c>
      <c r="N257" s="138" t="s">
        <v>1320</v>
      </c>
      <c r="P257" s="322"/>
      <c r="W257" s="3" t="b">
        <f t="shared" si="24"/>
        <v>1</v>
      </c>
      <c r="X257" s="582"/>
      <c r="Y257" s="582"/>
    </row>
    <row r="258" spans="1:25" ht="87.75" customHeight="1" x14ac:dyDescent="0.3">
      <c r="A258" s="601">
        <f>+'TD Info Completed by Auditor'!D72</f>
        <v>979</v>
      </c>
      <c r="B258" s="333" t="s">
        <v>1106</v>
      </c>
      <c r="C258" s="602" t="str">
        <f>+'TD Info Completed by Auditor'!E72</f>
        <v>The Auditor will submit the Audit Report to the LGC within five months plus one day after the fiscal year end.  (for units with a June 30th fiscal year-end this would be December 1)   Select Yes or No</v>
      </c>
      <c r="D258" s="356"/>
      <c r="E258" s="339">
        <f>IF(+'TD Info Completed by Auditor'!G72="Yes",1,IF(+'TD Info Completed by Auditor'!G72="No",2,IF(+'TD Info Completed by Auditor'!G72="N/A",3,0)))</f>
        <v>0</v>
      </c>
      <c r="F258" s="350"/>
      <c r="G258" s="352"/>
      <c r="H258" s="349"/>
      <c r="I258" s="38"/>
      <c r="J258" s="127">
        <v>979</v>
      </c>
      <c r="K258" s="612" t="s">
        <v>1065</v>
      </c>
      <c r="L258" s="585">
        <f t="shared" si="26"/>
        <v>0</v>
      </c>
      <c r="N258" s="138" t="s">
        <v>1320</v>
      </c>
      <c r="P258" s="322"/>
      <c r="W258" s="3" t="b">
        <f t="shared" si="24"/>
        <v>1</v>
      </c>
      <c r="X258" s="582"/>
      <c r="Y258" s="582"/>
    </row>
    <row r="259" spans="1:25" ht="87.75" customHeight="1" x14ac:dyDescent="0.3">
      <c r="A259" s="601">
        <f>+'TD Info Completed by Auditor'!D76</f>
        <v>975</v>
      </c>
      <c r="B259" s="333" t="s">
        <v>1106</v>
      </c>
      <c r="C259" s="602" t="str">
        <f>+'TD Info Completed by Auditor'!E76</f>
        <v>The Performance Indicator Tab in this worksheet has at least one performance indicator of concern (indicated by a red shaded cell)</v>
      </c>
      <c r="D259" s="356"/>
      <c r="E259" s="339">
        <f>IF(+'TD Info Completed by Auditor'!G76="Yes",1,IF(+'TD Info Completed by Auditor'!G76="No",2,IF(+'TD Info Completed by Auditor'!G76="N/A",3,0)))</f>
        <v>0</v>
      </c>
      <c r="F259" s="350"/>
      <c r="G259" s="352"/>
      <c r="H259" s="349"/>
      <c r="I259" s="38"/>
      <c r="J259" s="127">
        <v>975</v>
      </c>
      <c r="K259" s="612" t="s">
        <v>1112</v>
      </c>
      <c r="L259" s="585">
        <f>IF(D259="",E259,D259)</f>
        <v>0</v>
      </c>
      <c r="N259" s="138" t="s">
        <v>1320</v>
      </c>
      <c r="P259" s="322"/>
      <c r="W259" s="3" t="b">
        <f>EXACT(A259,J259)</f>
        <v>1</v>
      </c>
      <c r="X259" s="582"/>
      <c r="Y259" s="582"/>
    </row>
    <row r="260" spans="1:25" ht="112.5" customHeight="1" x14ac:dyDescent="0.3">
      <c r="A260" s="601">
        <f>+'TD Info Completed by Auditor'!D78</f>
        <v>976</v>
      </c>
      <c r="B260" s="333" t="s">
        <v>1106</v>
      </c>
      <c r="C260" s="332"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6"/>
      <c r="E260" s="339">
        <f>IF(+'TD Info Completed by Auditor'!G78="Yes",1,IF(+'TD Info Completed by Auditor'!G78="No",2,IF(+'TD Info Completed by Auditor'!G78="N/A",3,0)))</f>
        <v>0</v>
      </c>
      <c r="F260" s="350"/>
      <c r="G260" s="352"/>
      <c r="H260" s="349"/>
      <c r="I260" s="38"/>
      <c r="J260" s="127">
        <v>976</v>
      </c>
      <c r="K260" s="612" t="s">
        <v>1279</v>
      </c>
      <c r="L260" s="585">
        <f>IF(D260="",E260,D260)</f>
        <v>0</v>
      </c>
      <c r="N260" s="138" t="s">
        <v>1320</v>
      </c>
      <c r="P260" s="322"/>
      <c r="W260" s="3" t="b">
        <f>EXACT(A260,J260)</f>
        <v>1</v>
      </c>
      <c r="X260" s="582"/>
      <c r="Y260" s="582"/>
    </row>
    <row r="261" spans="1:25" ht="109.95" customHeight="1" x14ac:dyDescent="0.3">
      <c r="A261" s="629">
        <v>336</v>
      </c>
      <c r="B261" s="369"/>
      <c r="C261" s="630" t="s">
        <v>1375</v>
      </c>
      <c r="D261" s="631" t="s">
        <v>1290</v>
      </c>
      <c r="E261" s="632" t="s">
        <v>1291</v>
      </c>
      <c r="F261" s="370" t="s">
        <v>1289</v>
      </c>
      <c r="G261" s="352"/>
      <c r="H261" s="349"/>
      <c r="I261" s="38"/>
      <c r="J261" s="371">
        <v>336</v>
      </c>
      <c r="K261" s="633" t="s">
        <v>1294</v>
      </c>
      <c r="L261" s="634">
        <f>L10-L11-L12-L13-L14-L15-L16</f>
        <v>0</v>
      </c>
      <c r="M261" s="635"/>
      <c r="N261" s="383" t="s">
        <v>1292</v>
      </c>
      <c r="P261" s="322"/>
      <c r="X261" s="582"/>
      <c r="Y261" s="582"/>
    </row>
    <row r="262" spans="1:25" ht="129" customHeight="1" x14ac:dyDescent="0.3">
      <c r="A262" s="629">
        <v>44</v>
      </c>
      <c r="B262" s="369"/>
      <c r="C262" s="636" t="s">
        <v>1376</v>
      </c>
      <c r="D262" s="631" t="s">
        <v>1281</v>
      </c>
      <c r="E262" s="637" t="s">
        <v>1282</v>
      </c>
      <c r="F262" s="370" t="s">
        <v>1289</v>
      </c>
      <c r="G262" s="352"/>
      <c r="H262" s="349"/>
      <c r="I262" s="38"/>
      <c r="J262" s="371">
        <v>44</v>
      </c>
      <c r="K262" s="633" t="s">
        <v>1295</v>
      </c>
      <c r="L262" s="634">
        <f>L120-L121-L118</f>
        <v>0</v>
      </c>
      <c r="M262" s="635"/>
      <c r="N262" s="383" t="s">
        <v>1293</v>
      </c>
      <c r="P262" s="322"/>
      <c r="X262" s="582"/>
      <c r="Y262" s="582"/>
    </row>
    <row r="263" spans="1:25" ht="169.5" customHeight="1" x14ac:dyDescent="0.3">
      <c r="A263" s="629">
        <v>45</v>
      </c>
      <c r="B263" s="369"/>
      <c r="C263" s="638" t="s">
        <v>1377</v>
      </c>
      <c r="D263" s="631" t="s">
        <v>1283</v>
      </c>
      <c r="E263" s="632" t="s">
        <v>1284</v>
      </c>
      <c r="F263" s="370" t="s">
        <v>1289</v>
      </c>
      <c r="G263" s="352"/>
      <c r="H263" s="349"/>
      <c r="I263" s="38"/>
      <c r="J263" s="371">
        <v>45</v>
      </c>
      <c r="K263" s="633" t="s">
        <v>1296</v>
      </c>
      <c r="L263" s="634">
        <f>L124-L125-L126-L127-L128-L129-L123</f>
        <v>0</v>
      </c>
      <c r="M263" s="635"/>
      <c r="N263" s="383" t="s">
        <v>1311</v>
      </c>
      <c r="P263" s="322"/>
      <c r="X263" s="582"/>
      <c r="Y263" s="582"/>
    </row>
    <row r="264" spans="1:25" ht="87.75" customHeight="1" x14ac:dyDescent="0.3">
      <c r="A264" s="629">
        <v>47</v>
      </c>
      <c r="B264" s="369"/>
      <c r="C264" s="370" t="s">
        <v>1298</v>
      </c>
      <c r="D264" s="631" t="s">
        <v>1285</v>
      </c>
      <c r="E264" s="632" t="s">
        <v>1287</v>
      </c>
      <c r="F264" s="370" t="s">
        <v>1289</v>
      </c>
      <c r="G264" s="352"/>
      <c r="H264" s="349"/>
      <c r="I264" s="38"/>
      <c r="J264" s="371">
        <v>47</v>
      </c>
      <c r="K264" s="633" t="s">
        <v>1297</v>
      </c>
      <c r="L264" s="634">
        <f>L138-L139-L136</f>
        <v>0</v>
      </c>
      <c r="M264" s="635"/>
      <c r="N264" s="383" t="s">
        <v>1312</v>
      </c>
      <c r="P264" s="322"/>
      <c r="X264" s="582"/>
      <c r="Y264" s="582"/>
    </row>
    <row r="265" spans="1:25" ht="152.25" customHeight="1" x14ac:dyDescent="0.3">
      <c r="A265" s="629">
        <v>48</v>
      </c>
      <c r="B265" s="369"/>
      <c r="C265" s="370" t="s">
        <v>1299</v>
      </c>
      <c r="D265" s="631" t="s">
        <v>1286</v>
      </c>
      <c r="E265" s="632" t="s">
        <v>1288</v>
      </c>
      <c r="F265" s="370" t="s">
        <v>1289</v>
      </c>
      <c r="G265" s="352"/>
      <c r="H265" s="349"/>
      <c r="I265" s="38"/>
      <c r="J265" s="371">
        <v>48</v>
      </c>
      <c r="K265" s="633" t="s">
        <v>123</v>
      </c>
      <c r="L265" s="634">
        <f>L143-L144-L145-L146-L147-L148-L142</f>
        <v>0</v>
      </c>
      <c r="M265" s="635"/>
      <c r="N265" s="383" t="s">
        <v>1313</v>
      </c>
      <c r="P265" s="322"/>
      <c r="X265" s="582"/>
      <c r="Y265" s="582"/>
    </row>
    <row r="266" spans="1:25" ht="113.4" customHeight="1" x14ac:dyDescent="0.3">
      <c r="A266" s="639"/>
      <c r="B266" s="97"/>
      <c r="C266" s="640"/>
      <c r="D266" s="139"/>
      <c r="E266" s="147"/>
      <c r="F266" s="66"/>
      <c r="G266" s="141"/>
      <c r="H266" s="142"/>
      <c r="I266" s="38"/>
      <c r="J266" s="372">
        <v>998</v>
      </c>
      <c r="K266" s="373" t="s">
        <v>291</v>
      </c>
      <c r="L266" s="641" t="e">
        <f>HLOOKUP('Unit Data from Audit Worksheet'!$D$2,'2020 Data(H)'!A1:CR367,247,FALSE)</f>
        <v>#N/A</v>
      </c>
      <c r="M266" s="635"/>
      <c r="N266" s="383" t="s">
        <v>1300</v>
      </c>
      <c r="P266" s="318"/>
      <c r="W266" s="3" t="b">
        <f>EXACT(A266,J266)</f>
        <v>0</v>
      </c>
      <c r="X266" s="582" t="e">
        <f t="shared" si="21"/>
        <v>#N/A</v>
      </c>
      <c r="Y266" s="582" t="e">
        <f t="shared" si="22"/>
        <v>#N/A</v>
      </c>
    </row>
    <row r="267" spans="1:25" ht="119.4" customHeight="1" x14ac:dyDescent="0.3">
      <c r="A267" s="639"/>
      <c r="B267" s="97"/>
      <c r="C267" s="640"/>
      <c r="D267" s="642"/>
      <c r="E267" s="643"/>
      <c r="F267" s="644"/>
      <c r="G267" s="645"/>
      <c r="H267" s="646"/>
      <c r="I267" s="38"/>
      <c r="J267" s="374">
        <v>995</v>
      </c>
      <c r="K267" s="375" t="s">
        <v>289</v>
      </c>
      <c r="L267" s="647" t="e">
        <f>HLOOKUP('Unit Data from Audit Worksheet'!$D$2,'2020 Data(H)'!A1:CR367,244,FALSE)</f>
        <v>#N/A</v>
      </c>
      <c r="M267" s="635"/>
      <c r="N267" s="383" t="s">
        <v>1314</v>
      </c>
      <c r="P267" s="319"/>
      <c r="W267" s="3" t="b">
        <f>EXACT(A267,J267)</f>
        <v>0</v>
      </c>
      <c r="X267" s="648" t="e">
        <f t="shared" si="21"/>
        <v>#N/A</v>
      </c>
      <c r="Y267" s="582" t="e">
        <f t="shared" si="22"/>
        <v>#N/A</v>
      </c>
    </row>
    <row r="268" spans="1:25" ht="104.4" customHeight="1" x14ac:dyDescent="0.3">
      <c r="A268" s="639"/>
      <c r="B268" s="97"/>
      <c r="C268" s="640"/>
      <c r="D268" s="642"/>
      <c r="E268" s="643"/>
      <c r="F268" s="644"/>
      <c r="G268" s="645"/>
      <c r="H268" s="646"/>
      <c r="I268" s="38"/>
      <c r="J268" s="374">
        <v>996</v>
      </c>
      <c r="K268" s="375" t="s">
        <v>290</v>
      </c>
      <c r="L268" s="647" t="e">
        <f>HLOOKUP('Unit Data from Audit Worksheet'!$D$2,'2020 Data(H)'!A1:CR367,245,FALSE)</f>
        <v>#N/A</v>
      </c>
      <c r="M268" s="635"/>
      <c r="N268" s="383" t="s">
        <v>1315</v>
      </c>
      <c r="P268" s="319"/>
      <c r="W268" s="3" t="b">
        <f>EXACT(A268,J268)</f>
        <v>0</v>
      </c>
      <c r="X268" s="648" t="e">
        <f t="shared" si="21"/>
        <v>#N/A</v>
      </c>
      <c r="Y268" s="582" t="e">
        <f t="shared" si="22"/>
        <v>#N/A</v>
      </c>
    </row>
    <row r="269" spans="1:25" ht="43.2" x14ac:dyDescent="0.3">
      <c r="A269" s="639"/>
      <c r="B269" s="97"/>
      <c r="C269" s="640"/>
      <c r="D269" s="642"/>
      <c r="E269" s="643"/>
      <c r="F269" s="644"/>
      <c r="G269" s="645"/>
      <c r="H269" s="649"/>
      <c r="I269" s="38"/>
      <c r="J269" s="172">
        <v>554</v>
      </c>
      <c r="K269" s="650" t="s">
        <v>577</v>
      </c>
      <c r="L269" s="611"/>
      <c r="N269" s="651"/>
      <c r="P269" s="320"/>
      <c r="X269" s="648"/>
      <c r="Y269" s="582"/>
    </row>
    <row r="270" spans="1:25" ht="43.2" x14ac:dyDescent="0.3">
      <c r="A270" s="639"/>
      <c r="B270" s="97"/>
      <c r="C270" s="640"/>
      <c r="D270" s="642"/>
      <c r="E270" s="643"/>
      <c r="F270" s="644"/>
      <c r="G270" s="645"/>
      <c r="H270" s="649"/>
      <c r="I270" s="38"/>
      <c r="J270" s="172">
        <v>555</v>
      </c>
      <c r="K270" s="650" t="s">
        <v>579</v>
      </c>
      <c r="L270" s="611"/>
      <c r="N270" s="651"/>
      <c r="P270" s="320"/>
      <c r="X270" s="648"/>
      <c r="Y270" s="582"/>
    </row>
    <row r="271" spans="1:25" ht="43.2" x14ac:dyDescent="0.3">
      <c r="A271" s="639"/>
      <c r="B271" s="97"/>
      <c r="C271" s="640"/>
      <c r="D271" s="642"/>
      <c r="E271" s="643"/>
      <c r="F271" s="644"/>
      <c r="G271" s="645"/>
      <c r="H271" s="649"/>
      <c r="I271" s="38"/>
      <c r="J271" s="172">
        <v>556</v>
      </c>
      <c r="K271" s="650" t="s">
        <v>581</v>
      </c>
      <c r="L271" s="611"/>
      <c r="N271" s="651"/>
      <c r="P271" s="320"/>
      <c r="X271" s="648"/>
      <c r="Y271" s="582"/>
    </row>
    <row r="272" spans="1:25" ht="43.2" x14ac:dyDescent="0.3">
      <c r="A272" s="639"/>
      <c r="B272" s="97"/>
      <c r="C272" s="640"/>
      <c r="D272" s="642"/>
      <c r="E272" s="643"/>
      <c r="F272" s="644"/>
      <c r="G272" s="645"/>
      <c r="H272" s="649"/>
      <c r="I272" s="38"/>
      <c r="J272" s="172">
        <v>557</v>
      </c>
      <c r="K272" s="650" t="s">
        <v>583</v>
      </c>
      <c r="L272" s="611"/>
      <c r="N272" s="651"/>
      <c r="P272" s="320"/>
      <c r="X272" s="648"/>
      <c r="Y272" s="582"/>
    </row>
    <row r="273" spans="1:25" ht="43.2" x14ac:dyDescent="0.3">
      <c r="A273" s="639"/>
      <c r="B273" s="97"/>
      <c r="C273" s="640"/>
      <c r="D273" s="642"/>
      <c r="E273" s="643"/>
      <c r="F273" s="644"/>
      <c r="G273" s="645"/>
      <c r="H273" s="649"/>
      <c r="I273" s="38"/>
      <c r="J273" s="172">
        <v>606</v>
      </c>
      <c r="K273" s="650" t="s">
        <v>849</v>
      </c>
      <c r="L273" s="611"/>
      <c r="N273" s="651"/>
      <c r="P273" s="320"/>
      <c r="X273" s="648"/>
      <c r="Y273" s="582"/>
    </row>
    <row r="274" spans="1:25" ht="39.75" customHeight="1" x14ac:dyDescent="0.3">
      <c r="A274" s="639"/>
      <c r="B274" s="97"/>
      <c r="C274" s="640"/>
      <c r="D274" s="642"/>
      <c r="E274" s="643"/>
      <c r="F274" s="644"/>
      <c r="G274" s="645"/>
      <c r="H274" s="649"/>
      <c r="I274" s="38"/>
      <c r="J274" s="326">
        <v>662</v>
      </c>
      <c r="K274" s="652" t="s">
        <v>850</v>
      </c>
      <c r="L274" s="653"/>
      <c r="N274" s="651"/>
      <c r="P274" s="326"/>
      <c r="X274" s="648"/>
      <c r="Y274" s="582"/>
    </row>
    <row r="275" spans="1:25" ht="39" customHeight="1" x14ac:dyDescent="0.3">
      <c r="A275" s="639"/>
      <c r="B275" s="97"/>
      <c r="C275" s="640"/>
      <c r="D275" s="642"/>
      <c r="E275" s="643"/>
      <c r="F275" s="644"/>
      <c r="G275" s="645"/>
      <c r="H275" s="649"/>
      <c r="I275" s="38"/>
      <c r="J275" s="326">
        <v>663</v>
      </c>
      <c r="K275" s="654" t="s">
        <v>851</v>
      </c>
      <c r="L275" s="653"/>
      <c r="N275" s="651"/>
      <c r="P275" s="326"/>
      <c r="X275" s="648"/>
      <c r="Y275" s="582"/>
    </row>
    <row r="276" spans="1:25" s="18" customFormat="1" ht="22.5" customHeight="1" x14ac:dyDescent="0.3">
      <c r="A276" s="639"/>
      <c r="B276" s="97"/>
      <c r="C276" s="640"/>
      <c r="D276" s="139"/>
      <c r="E276" s="140"/>
      <c r="F276" s="66"/>
      <c r="G276" s="141"/>
      <c r="H276" s="142"/>
      <c r="I276" s="38"/>
      <c r="J276" s="143"/>
      <c r="K276" s="655"/>
      <c r="L276" s="656"/>
      <c r="N276" s="381"/>
      <c r="P276" s="320"/>
      <c r="Q276" s="575"/>
      <c r="W276" s="18" t="b">
        <f t="shared" ref="W276:W284" si="27">EXACT(A276,J276)</f>
        <v>1</v>
      </c>
      <c r="X276" s="591">
        <f t="shared" si="21"/>
        <v>0</v>
      </c>
      <c r="Y276" s="591">
        <f t="shared" si="22"/>
        <v>0</v>
      </c>
    </row>
    <row r="277" spans="1:25" ht="99" customHeight="1" x14ac:dyDescent="0.3">
      <c r="A277" s="337">
        <f>'Unit Data from Audit Worksheet'!A304</f>
        <v>947</v>
      </c>
      <c r="B277" s="132"/>
      <c r="C277" s="336" t="str">
        <f>'Unit Data from Audit Worksheet'!D304</f>
        <v>First name of finance officer or interim finance officer (please enter “vacant” for first name if the position is currently vacant)</v>
      </c>
      <c r="D277" s="359"/>
      <c r="E277" s="187">
        <f>'Unit Data from Audit Worksheet'!F304</f>
        <v>0</v>
      </c>
      <c r="F277" s="350" t="str">
        <f>'Unit Data from Audit Worksheet'!G304</f>
        <v>Please do not leave blank</v>
      </c>
      <c r="G277" s="352"/>
      <c r="H277" s="349"/>
      <c r="I277" s="38"/>
      <c r="J277" s="176">
        <v>947</v>
      </c>
      <c r="K277" s="657" t="s">
        <v>798</v>
      </c>
      <c r="L277" s="658">
        <f t="shared" ref="L277:L290" si="28">IF(D277="",E277,D277)</f>
        <v>0</v>
      </c>
      <c r="N277" s="651"/>
      <c r="P277" s="326"/>
      <c r="Q277" s="617">
        <f t="shared" ref="Q277:Q284" si="29">IF(L277=0,1,0)</f>
        <v>1</v>
      </c>
      <c r="W277" s="3" t="b">
        <f t="shared" si="27"/>
        <v>1</v>
      </c>
      <c r="X277" s="582">
        <f t="shared" ref="X277:X291" si="30">E277-L277</f>
        <v>0</v>
      </c>
      <c r="Y277" s="582">
        <f t="shared" ref="Y277:Y291" si="31">D277-L277</f>
        <v>0</v>
      </c>
    </row>
    <row r="278" spans="1:25" ht="128.25" customHeight="1" x14ac:dyDescent="0.3">
      <c r="A278" s="337">
        <f>'Unit Data from Audit Worksheet'!A305</f>
        <v>948</v>
      </c>
      <c r="B278" s="132"/>
      <c r="C278" s="336" t="str">
        <f>'Unit Data from Audit Worksheet'!D305</f>
        <v>Last name of finance officer or interim finance officer (please enter “vacant” for last name if the position is currently vacant)</v>
      </c>
      <c r="D278" s="359"/>
      <c r="E278" s="659">
        <f>'Unit Data from Audit Worksheet'!F305</f>
        <v>0</v>
      </c>
      <c r="F278" s="350" t="str">
        <f>'Unit Data from Audit Worksheet'!G305</f>
        <v>Please do not leave blank</v>
      </c>
      <c r="G278" s="352"/>
      <c r="H278" s="349"/>
      <c r="I278" s="38"/>
      <c r="J278" s="176">
        <v>948</v>
      </c>
      <c r="K278" s="657" t="s">
        <v>799</v>
      </c>
      <c r="L278" s="658">
        <f t="shared" si="28"/>
        <v>0</v>
      </c>
      <c r="N278" s="651"/>
      <c r="P278" s="326"/>
      <c r="Q278" s="617">
        <f t="shared" si="29"/>
        <v>1</v>
      </c>
      <c r="W278" s="3" t="b">
        <f t="shared" si="27"/>
        <v>1</v>
      </c>
      <c r="X278" s="582">
        <f t="shared" si="30"/>
        <v>0</v>
      </c>
      <c r="Y278" s="582">
        <f t="shared" si="31"/>
        <v>0</v>
      </c>
    </row>
    <row r="279" spans="1:25" ht="61.5" customHeight="1" x14ac:dyDescent="0.3">
      <c r="A279" s="337">
        <f>'Unit Data from Audit Worksheet'!A306</f>
        <v>949</v>
      </c>
      <c r="B279" s="132"/>
      <c r="C279" s="336" t="str">
        <f>'Unit Data from Audit Worksheet'!D306</f>
        <v>Is the finance officer serving in a permanent role or an interim role? (select permanent/interim/vacant)</v>
      </c>
      <c r="D279" s="359"/>
      <c r="E279" s="187">
        <f>'Unit Data from Audit Worksheet'!F306</f>
        <v>0</v>
      </c>
      <c r="F279" s="350" t="str">
        <f>'Unit Data from Audit Worksheet'!G306</f>
        <v>Please do not leave blank</v>
      </c>
      <c r="G279" s="352"/>
      <c r="H279" s="349"/>
      <c r="I279" s="38"/>
      <c r="J279" s="176">
        <v>949</v>
      </c>
      <c r="K279" s="657" t="s">
        <v>827</v>
      </c>
      <c r="L279" s="658">
        <f t="shared" si="28"/>
        <v>0</v>
      </c>
      <c r="N279" s="651"/>
      <c r="P279" s="326"/>
      <c r="Q279" s="617">
        <f t="shared" si="29"/>
        <v>1</v>
      </c>
      <c r="W279" s="3" t="b">
        <f t="shared" si="27"/>
        <v>1</v>
      </c>
      <c r="X279" s="582">
        <f t="shared" si="30"/>
        <v>0</v>
      </c>
      <c r="Y279" s="582">
        <f t="shared" si="31"/>
        <v>0</v>
      </c>
    </row>
    <row r="280" spans="1:25" ht="93.75" customHeight="1" x14ac:dyDescent="0.3">
      <c r="A280" s="337">
        <f>'Unit Data from Audit Worksheet'!A307</f>
        <v>950</v>
      </c>
      <c r="B280" s="132"/>
      <c r="C280" s="336" t="str">
        <f>'Unit Data from Audit Worksheet'!D307</f>
        <v>Has the finance officer been formally appointed by the local government, public authority, or designated official?  (Y/N)</v>
      </c>
      <c r="D280" s="359"/>
      <c r="E280" s="187">
        <f>'Unit Data from Audit Worksheet'!F307</f>
        <v>0</v>
      </c>
      <c r="F280" s="350" t="str">
        <f>'Unit Data from Audit Worksheet'!G307</f>
        <v>Please do not leave blank</v>
      </c>
      <c r="G280" s="352"/>
      <c r="H280" s="349"/>
      <c r="I280" s="38"/>
      <c r="J280" s="176">
        <v>950</v>
      </c>
      <c r="K280" s="657" t="s">
        <v>828</v>
      </c>
      <c r="L280" s="658">
        <f t="shared" si="28"/>
        <v>0</v>
      </c>
      <c r="N280" s="651"/>
      <c r="P280" s="326"/>
      <c r="Q280" s="617">
        <f t="shared" si="29"/>
        <v>1</v>
      </c>
      <c r="W280" s="3" t="b">
        <f t="shared" si="27"/>
        <v>1</v>
      </c>
      <c r="X280" s="582">
        <f t="shared" si="30"/>
        <v>0</v>
      </c>
      <c r="Y280" s="582">
        <f t="shared" si="31"/>
        <v>0</v>
      </c>
    </row>
    <row r="281" spans="1:25" ht="153.75" customHeight="1" x14ac:dyDescent="0.3">
      <c r="A281" s="337">
        <f>'Unit Data from Audit Worksheet'!A308</f>
        <v>952</v>
      </c>
      <c r="B281" s="132"/>
      <c r="C281" s="336"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9"/>
      <c r="E281" s="136" t="str">
        <f>IF('Unit Data from Audit Worksheet'!F308&gt;0,'Unit Data from Audit Worksheet'!F308," ")</f>
        <v xml:space="preserve"> </v>
      </c>
      <c r="F281" s="350" t="str">
        <f>'Unit Data from Audit Worksheet'!G308</f>
        <v>Leave blank if data not available</v>
      </c>
      <c r="G281" s="352"/>
      <c r="H281" s="349"/>
      <c r="I281" s="38"/>
      <c r="J281" s="176">
        <v>952</v>
      </c>
      <c r="K281" s="657" t="s">
        <v>829</v>
      </c>
      <c r="L281" s="660" t="str">
        <f t="shared" si="28"/>
        <v xml:space="preserve"> </v>
      </c>
      <c r="N281" s="651"/>
      <c r="P281" s="326"/>
      <c r="Q281" s="617">
        <f t="shared" si="29"/>
        <v>0</v>
      </c>
      <c r="W281" s="3" t="b">
        <f t="shared" si="27"/>
        <v>1</v>
      </c>
      <c r="X281" s="582" t="e">
        <f t="shared" si="30"/>
        <v>#VALUE!</v>
      </c>
      <c r="Y281" s="582" t="e">
        <f t="shared" si="31"/>
        <v>#VALUE!</v>
      </c>
    </row>
    <row r="282" spans="1:25" ht="153.75" customHeight="1" x14ac:dyDescent="0.3">
      <c r="A282" s="337">
        <f>'Unit Data from Audit Worksheet'!A309</f>
        <v>954</v>
      </c>
      <c r="B282" s="132"/>
      <c r="C282" s="336" t="str">
        <f>'Unit Data from Audit Worksheet'!D309</f>
        <v>Has the finance officer or interim finance officer read, understand, and is in compliance with the requirements of N.C.G.S. 159, as applicable based on unit type and circumstances? (Y/N)</v>
      </c>
      <c r="D282" s="359"/>
      <c r="E282" s="187">
        <f>'Unit Data from Audit Worksheet'!F309</f>
        <v>0</v>
      </c>
      <c r="F282" s="350" t="str">
        <f>'Unit Data from Audit Worksheet'!G309</f>
        <v>Please do not leave blank</v>
      </c>
      <c r="G282" s="352"/>
      <c r="H282" s="349"/>
      <c r="I282" s="38"/>
      <c r="J282" s="176">
        <v>954</v>
      </c>
      <c r="K282" s="657" t="s">
        <v>830</v>
      </c>
      <c r="L282" s="658">
        <f t="shared" si="28"/>
        <v>0</v>
      </c>
      <c r="N282" s="651"/>
      <c r="P282" s="326"/>
      <c r="Q282" s="617">
        <f t="shared" si="29"/>
        <v>1</v>
      </c>
      <c r="W282" s="3" t="b">
        <f t="shared" si="27"/>
        <v>1</v>
      </c>
      <c r="X282" s="582">
        <f t="shared" si="30"/>
        <v>0</v>
      </c>
      <c r="Y282" s="582">
        <f t="shared" si="31"/>
        <v>0</v>
      </c>
    </row>
    <row r="283" spans="1:25" ht="153.75" customHeight="1" x14ac:dyDescent="0.3">
      <c r="A283" s="337">
        <f>'Unit Data from Audit Worksheet'!A310</f>
        <v>956</v>
      </c>
      <c r="B283" s="132"/>
      <c r="C283" s="336" t="str">
        <f>'Unit Data from Audit Worksheet'!D310</f>
        <v>Does the finance officer or interim finance officer maintain and update (or ensures the maintenance and update of)  financial records monthly, including reconciliation of bank accounts to the general ledger? (Y/N)</v>
      </c>
      <c r="D283" s="359"/>
      <c r="E283" s="187">
        <f>'Unit Data from Audit Worksheet'!F310</f>
        <v>0</v>
      </c>
      <c r="F283" s="350" t="str">
        <f>'Unit Data from Audit Worksheet'!G310</f>
        <v>Please do not leave blank</v>
      </c>
      <c r="G283" s="352"/>
      <c r="H283" s="349"/>
      <c r="I283" s="38"/>
      <c r="J283" s="176">
        <v>956</v>
      </c>
      <c r="K283" s="657" t="s">
        <v>831</v>
      </c>
      <c r="L283" s="658">
        <f t="shared" si="28"/>
        <v>0</v>
      </c>
      <c r="N283" s="651"/>
      <c r="P283" s="326"/>
      <c r="Q283" s="617">
        <f t="shared" si="29"/>
        <v>1</v>
      </c>
      <c r="W283" s="3" t="b">
        <f t="shared" si="27"/>
        <v>1</v>
      </c>
      <c r="X283" s="582">
        <f t="shared" si="30"/>
        <v>0</v>
      </c>
      <c r="Y283" s="582">
        <f t="shared" si="31"/>
        <v>0</v>
      </c>
    </row>
    <row r="284" spans="1:25" ht="201.6" x14ac:dyDescent="0.3">
      <c r="A284" s="337">
        <f>'Unit Data from Audit Worksheet'!A311</f>
        <v>958</v>
      </c>
      <c r="B284" s="132"/>
      <c r="C284" s="336"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9"/>
      <c r="E284" s="187">
        <f>'Unit Data from Audit Worksheet'!F311</f>
        <v>0</v>
      </c>
      <c r="F284" s="350" t="str">
        <f>'Unit Data from Audit Worksheet'!G311</f>
        <v>Please do not leave blank</v>
      </c>
      <c r="G284" s="352"/>
      <c r="H284" s="349"/>
      <c r="I284" s="38"/>
      <c r="J284" s="176">
        <v>958</v>
      </c>
      <c r="K284" s="657" t="s">
        <v>832</v>
      </c>
      <c r="L284" s="661">
        <f t="shared" si="28"/>
        <v>0</v>
      </c>
      <c r="N284" s="651"/>
      <c r="P284" s="326"/>
      <c r="Q284" s="617">
        <f t="shared" si="29"/>
        <v>1</v>
      </c>
      <c r="W284" s="3" t="b">
        <f t="shared" si="27"/>
        <v>1</v>
      </c>
      <c r="X284" s="582">
        <f t="shared" si="30"/>
        <v>0</v>
      </c>
      <c r="Y284" s="582">
        <f t="shared" si="31"/>
        <v>0</v>
      </c>
    </row>
    <row r="285" spans="1:25" ht="30.75" customHeight="1" x14ac:dyDescent="0.3">
      <c r="A285" s="662">
        <f>'Unit Data from Audit Worksheet'!A319</f>
        <v>960</v>
      </c>
      <c r="B285" s="183"/>
      <c r="C285" s="184" t="str">
        <f>'Unit Data from Audit Worksheet'!B319</f>
        <v>Name of Finance Officer</v>
      </c>
      <c r="D285" s="359"/>
      <c r="E285" s="663">
        <f>'Unit Data from Audit Worksheet'!D319</f>
        <v>0</v>
      </c>
      <c r="F285" s="664" t="str">
        <f>'Unit Data from Audit Worksheet'!F319</f>
        <v>Required</v>
      </c>
      <c r="G285" s="352"/>
      <c r="H285" s="349"/>
      <c r="I285" s="38"/>
      <c r="J285" s="186">
        <v>960</v>
      </c>
      <c r="K285" s="665" t="s">
        <v>823</v>
      </c>
      <c r="L285" s="666">
        <f t="shared" si="28"/>
        <v>0</v>
      </c>
      <c r="N285" s="609"/>
      <c r="P285" s="326"/>
      <c r="Q285" s="617">
        <f>IF(L285=0,1,0)</f>
        <v>1</v>
      </c>
      <c r="X285" s="582"/>
      <c r="Y285" s="582"/>
    </row>
    <row r="286" spans="1:25" ht="30.75" customHeight="1" x14ac:dyDescent="0.3">
      <c r="A286" s="662">
        <f>'Unit Data from Audit Worksheet'!A320</f>
        <v>962</v>
      </c>
      <c r="B286" s="183"/>
      <c r="C286" s="184" t="str">
        <f>'Unit Data from Audit Worksheet'!B320</f>
        <v>Title of Official</v>
      </c>
      <c r="D286" s="359"/>
      <c r="E286" s="663">
        <f>'Unit Data from Audit Worksheet'!D320</f>
        <v>0</v>
      </c>
      <c r="F286" s="664" t="str">
        <f>'Unit Data from Audit Worksheet'!F320</f>
        <v>Required</v>
      </c>
      <c r="G286" s="352"/>
      <c r="H286" s="349"/>
      <c r="I286" s="38"/>
      <c r="J286" s="186">
        <v>962</v>
      </c>
      <c r="K286" s="665" t="s">
        <v>779</v>
      </c>
      <c r="L286" s="666">
        <f t="shared" si="28"/>
        <v>0</v>
      </c>
      <c r="N286" s="609"/>
      <c r="P286" s="326"/>
      <c r="Q286" s="617">
        <f>IF(L286=0,1,0)</f>
        <v>1</v>
      </c>
      <c r="X286" s="582"/>
      <c r="Y286" s="582"/>
    </row>
    <row r="287" spans="1:25" ht="30.75" customHeight="1" x14ac:dyDescent="0.3">
      <c r="A287" s="662">
        <f>'Unit Data from Audit Worksheet'!A321</f>
        <v>964</v>
      </c>
      <c r="B287" s="183"/>
      <c r="C287" s="185" t="str">
        <f>'Unit Data from Audit Worksheet'!B321</f>
        <v>Date                        (Enter as "MM/DD/YYYY")</v>
      </c>
      <c r="D287" s="359"/>
      <c r="E287" s="667" t="str">
        <f>IF('Unit Data from Audit Worksheet'!D321&gt;0,'Unit Data from Audit Worksheet'!D321," ")</f>
        <v xml:space="preserve"> </v>
      </c>
      <c r="F287" s="664" t="str">
        <f>'Unit Data from Audit Worksheet'!F321</f>
        <v>Required</v>
      </c>
      <c r="G287" s="352"/>
      <c r="H287" s="349"/>
      <c r="I287" s="38"/>
      <c r="J287" s="186">
        <v>964</v>
      </c>
      <c r="K287" s="665" t="s">
        <v>861</v>
      </c>
      <c r="L287" s="668" t="str">
        <f t="shared" si="28"/>
        <v xml:space="preserve"> </v>
      </c>
      <c r="N287" s="609"/>
      <c r="P287" s="326"/>
      <c r="Q287" s="617">
        <f>IF(L287=0,1,0)</f>
        <v>0</v>
      </c>
      <c r="X287" s="582"/>
      <c r="Y287" s="582"/>
    </row>
    <row r="288" spans="1:25" ht="30.75" customHeight="1" x14ac:dyDescent="0.3">
      <c r="A288" s="662">
        <f>'Unit Data from Audit Worksheet'!A322</f>
        <v>966</v>
      </c>
      <c r="B288" s="183"/>
      <c r="C288" s="184" t="str">
        <f>'Unit Data from Audit Worksheet'!B322</f>
        <v>Telephone number</v>
      </c>
      <c r="D288" s="359"/>
      <c r="E288" s="663">
        <f>'Unit Data from Audit Worksheet'!D322</f>
        <v>0</v>
      </c>
      <c r="F288" s="664" t="str">
        <f>'Unit Data from Audit Worksheet'!F322</f>
        <v>Required</v>
      </c>
      <c r="G288" s="352"/>
      <c r="H288" s="349"/>
      <c r="I288" s="38"/>
      <c r="J288" s="186">
        <v>966</v>
      </c>
      <c r="K288" s="665" t="s">
        <v>781</v>
      </c>
      <c r="L288" s="666">
        <f t="shared" si="28"/>
        <v>0</v>
      </c>
      <c r="N288" s="609"/>
      <c r="P288" s="326"/>
      <c r="Q288" s="617">
        <f>IF(L288=0,1,0)</f>
        <v>1</v>
      </c>
      <c r="X288" s="582"/>
      <c r="Y288" s="582"/>
    </row>
    <row r="289" spans="1:25" ht="30.75" customHeight="1" x14ac:dyDescent="0.3">
      <c r="A289" s="662">
        <f>'Unit Data from Audit Worksheet'!A323</f>
        <v>968</v>
      </c>
      <c r="B289" s="183"/>
      <c r="C289" s="184" t="str">
        <f>'Unit Data from Audit Worksheet'!B323</f>
        <v>E-mail address</v>
      </c>
      <c r="D289" s="359"/>
      <c r="E289" s="663">
        <f>'Unit Data from Audit Worksheet'!D323</f>
        <v>0</v>
      </c>
      <c r="F289" s="664" t="str">
        <f>'Unit Data from Audit Worksheet'!F323</f>
        <v>Required</v>
      </c>
      <c r="G289" s="352"/>
      <c r="H289" s="349"/>
      <c r="I289" s="38"/>
      <c r="J289" s="186">
        <v>968</v>
      </c>
      <c r="K289" s="665" t="s">
        <v>782</v>
      </c>
      <c r="L289" s="666">
        <f t="shared" si="28"/>
        <v>0</v>
      </c>
      <c r="N289" s="609"/>
      <c r="P289" s="326"/>
      <c r="Q289" s="617">
        <f>IF(L289=0,1,0)</f>
        <v>1</v>
      </c>
      <c r="X289" s="582"/>
      <c r="Y289" s="582"/>
    </row>
    <row r="290" spans="1:25" ht="75.599999999999994" customHeight="1" x14ac:dyDescent="0.3">
      <c r="A290" s="669">
        <f>+'TD Info Completed by Auditor'!D74</f>
        <v>980</v>
      </c>
      <c r="B290" s="369" t="s">
        <v>1106</v>
      </c>
      <c r="C290" s="384" t="str">
        <f>+'TD Info Completed by Auditor'!E74</f>
        <v>Date the Auditor presented or plans to present the Audit to the Governing Board</v>
      </c>
      <c r="D290" s="359"/>
      <c r="E290" s="670" t="str">
        <f>IF('TD Info Completed by Auditor'!G74&gt;0,'TD Info Completed by Auditor'!G74," ")</f>
        <v xml:space="preserve"> </v>
      </c>
      <c r="F290" s="671" t="s">
        <v>1318</v>
      </c>
      <c r="G290" s="352"/>
      <c r="H290" s="349"/>
      <c r="I290" s="38"/>
      <c r="J290" s="385">
        <v>980</v>
      </c>
      <c r="K290" s="386" t="s">
        <v>1063</v>
      </c>
      <c r="L290" s="672" t="str">
        <f t="shared" si="28"/>
        <v xml:space="preserve"> </v>
      </c>
      <c r="N290" s="609"/>
      <c r="P290" s="326"/>
      <c r="Q290" s="617"/>
      <c r="X290" s="582"/>
      <c r="Y290" s="582"/>
    </row>
    <row r="291" spans="1:25" ht="83.4" customHeight="1" x14ac:dyDescent="0.3">
      <c r="A291" s="639"/>
      <c r="B291" s="97"/>
      <c r="C291" s="640"/>
      <c r="D291" s="642"/>
      <c r="E291" s="643"/>
      <c r="F291" s="644"/>
      <c r="G291" s="645"/>
      <c r="H291" s="646"/>
      <c r="I291" s="38"/>
      <c r="J291" s="176">
        <v>999</v>
      </c>
      <c r="K291" s="657" t="s">
        <v>292</v>
      </c>
      <c r="L291" s="673" t="e">
        <f>'Unit Data from Audit Worksheet'!D3</f>
        <v>#N/A</v>
      </c>
      <c r="M291" s="635"/>
      <c r="N291" s="674" t="s">
        <v>1317</v>
      </c>
      <c r="O291" s="674" t="s">
        <v>1316</v>
      </c>
      <c r="P291" s="326"/>
      <c r="W291" s="3" t="b">
        <f>EXACT(A291,J291)</f>
        <v>0</v>
      </c>
      <c r="X291" s="582" t="e">
        <f t="shared" si="30"/>
        <v>#N/A</v>
      </c>
      <c r="Y291" s="582" t="e">
        <f t="shared" si="31"/>
        <v>#N/A</v>
      </c>
    </row>
    <row r="292" spans="1:25" x14ac:dyDescent="0.3">
      <c r="A292" s="296"/>
      <c r="B292" s="296"/>
      <c r="C292" s="296"/>
      <c r="D292" s="296"/>
      <c r="E292" s="296"/>
      <c r="F292" s="296"/>
      <c r="G292" s="296"/>
      <c r="H292" s="296"/>
      <c r="I292" s="296"/>
      <c r="J292" s="3"/>
      <c r="K292" s="3"/>
      <c r="L292" s="3"/>
      <c r="N292" s="4"/>
      <c r="P292" s="327"/>
    </row>
    <row r="293" spans="1:25" x14ac:dyDescent="0.3">
      <c r="D293" s="676"/>
      <c r="E293" s="677"/>
      <c r="F293" s="677"/>
      <c r="G293" s="678"/>
      <c r="H293" s="677"/>
      <c r="I293" s="679"/>
      <c r="K293" s="10"/>
      <c r="L293" s="680"/>
      <c r="N293" s="4"/>
      <c r="P293" s="327"/>
    </row>
    <row r="294" spans="1:25" ht="18" x14ac:dyDescent="0.35">
      <c r="A294" s="165" t="s">
        <v>713</v>
      </c>
      <c r="B294" s="166"/>
      <c r="C294" s="167"/>
      <c r="D294" s="168"/>
      <c r="E294" s="169"/>
      <c r="F294" s="677"/>
      <c r="G294" s="678"/>
      <c r="H294" s="677"/>
      <c r="I294" s="679"/>
      <c r="L294" s="680"/>
      <c r="N294" s="4"/>
      <c r="P294" s="327"/>
    </row>
    <row r="295" spans="1:25" ht="117" customHeight="1" x14ac:dyDescent="0.7">
      <c r="A295" s="337">
        <f>'Unit Data from Audit Worksheet'!A88</f>
        <v>590</v>
      </c>
      <c r="B295" s="337" t="str">
        <f>'Unit Data from Audit Worksheet'!B88</f>
        <v>Fiscal Review</v>
      </c>
      <c r="C295" s="81"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78"/>
      <c r="H295" s="677"/>
      <c r="I295" s="679"/>
      <c r="J295" s="158" t="e">
        <f>SUM(Q5:Q295)</f>
        <v>#N/A</v>
      </c>
      <c r="K295" s="157" t="s">
        <v>820</v>
      </c>
      <c r="L295" s="680" t="e">
        <f>SUM(G5:G245)</f>
        <v>#N/A</v>
      </c>
      <c r="N295" s="4"/>
      <c r="P295" s="327"/>
    </row>
    <row r="296" spans="1:25" ht="14.25" customHeight="1" x14ac:dyDescent="0.3">
      <c r="A296" s="296"/>
      <c r="B296" s="296"/>
      <c r="C296" s="296"/>
      <c r="D296" s="296"/>
      <c r="E296" s="296"/>
      <c r="F296" s="677"/>
      <c r="G296" s="678"/>
      <c r="H296" s="677"/>
      <c r="I296" s="679"/>
      <c r="K296" s="10"/>
      <c r="L296" s="681"/>
      <c r="P296" s="327"/>
      <c r="Q296" s="85"/>
    </row>
    <row r="297" spans="1:25" x14ac:dyDescent="0.3">
      <c r="A297" s="296"/>
      <c r="B297" s="296"/>
      <c r="C297" s="296"/>
      <c r="D297" s="296"/>
      <c r="E297" s="296"/>
      <c r="F297" s="677"/>
      <c r="G297" s="678"/>
      <c r="H297" s="677"/>
      <c r="I297" s="679"/>
      <c r="K297" s="10"/>
      <c r="L297" s="681"/>
      <c r="P297" s="327"/>
    </row>
    <row r="298" spans="1:25" ht="18.75" customHeight="1" x14ac:dyDescent="0.3">
      <c r="A298" s="296"/>
      <c r="B298" s="296"/>
      <c r="C298" s="296"/>
      <c r="D298" s="296"/>
      <c r="E298" s="296"/>
      <c r="F298" s="677"/>
      <c r="G298" s="678"/>
      <c r="H298" s="677"/>
      <c r="I298" s="679"/>
      <c r="J298" s="5">
        <f>SUM(J5:J245)</f>
        <v>98821</v>
      </c>
      <c r="K298" s="10"/>
      <c r="L298" s="681"/>
      <c r="P298" s="327"/>
    </row>
    <row r="299" spans="1:25" ht="30.75" customHeight="1" x14ac:dyDescent="0.3">
      <c r="A299" s="296"/>
      <c r="B299" s="296"/>
      <c r="C299" s="296"/>
      <c r="D299" s="296"/>
      <c r="E299" s="296"/>
      <c r="F299" s="677"/>
      <c r="G299" s="678"/>
      <c r="H299" s="677"/>
      <c r="I299" s="679"/>
      <c r="J299" s="5">
        <f>SUM(J261:J265)+SUM(J277:J290)</f>
        <v>13934</v>
      </c>
      <c r="K299" s="10"/>
      <c r="L299" s="681"/>
      <c r="P299" s="327"/>
    </row>
    <row r="300" spans="1:25" ht="30.75" customHeight="1" x14ac:dyDescent="0.3">
      <c r="A300" s="296"/>
      <c r="B300" s="296"/>
      <c r="C300" s="296"/>
      <c r="D300" s="296"/>
      <c r="E300" s="296"/>
      <c r="F300" s="677"/>
      <c r="G300" s="678"/>
      <c r="H300" s="677"/>
      <c r="I300" s="679"/>
      <c r="J300" s="5">
        <f>+J298+J299</f>
        <v>112755</v>
      </c>
      <c r="K300" s="10"/>
      <c r="L300" s="681"/>
      <c r="P300" s="327"/>
    </row>
    <row r="301" spans="1:25" ht="30.75" customHeight="1" x14ac:dyDescent="0.3">
      <c r="A301" s="296"/>
      <c r="B301" s="296"/>
      <c r="C301" s="296"/>
      <c r="D301" s="296"/>
      <c r="E301" s="296"/>
      <c r="F301" s="677"/>
      <c r="G301" s="678"/>
      <c r="H301" s="677"/>
      <c r="I301" s="679"/>
      <c r="J301" s="5">
        <f>+'Unit Data from Audit Worksheet'!A327</f>
        <v>96734</v>
      </c>
      <c r="K301" s="10"/>
      <c r="L301" s="681"/>
      <c r="P301" s="327"/>
    </row>
    <row r="302" spans="1:25" ht="30.75" customHeight="1" x14ac:dyDescent="0.3">
      <c r="A302" s="296"/>
      <c r="B302" s="296"/>
      <c r="C302" s="296"/>
      <c r="D302" s="296"/>
      <c r="E302" s="296"/>
      <c r="F302" s="677"/>
      <c r="G302" s="678"/>
      <c r="H302" s="677"/>
      <c r="I302" s="679"/>
      <c r="J302" s="5">
        <f>+J300-J301</f>
        <v>16021</v>
      </c>
      <c r="K302" s="10"/>
      <c r="L302" s="681"/>
      <c r="P302" s="327"/>
    </row>
    <row r="303" spans="1:25" ht="30.75" customHeight="1" x14ac:dyDescent="0.3">
      <c r="A303" s="296"/>
      <c r="B303" s="296"/>
      <c r="C303" s="296"/>
      <c r="D303" s="296"/>
      <c r="E303" s="296"/>
      <c r="F303" s="677"/>
      <c r="G303" s="678"/>
      <c r="H303" s="677"/>
      <c r="I303" s="679"/>
      <c r="K303" s="10"/>
      <c r="L303" s="681"/>
      <c r="P303" s="327"/>
    </row>
    <row r="304" spans="1:25" x14ac:dyDescent="0.3">
      <c r="A304" s="296"/>
      <c r="B304" s="296"/>
      <c r="C304" s="296"/>
      <c r="D304" s="296"/>
      <c r="E304" s="296"/>
      <c r="I304" s="679"/>
      <c r="K304" s="10"/>
      <c r="L304" s="681"/>
      <c r="P304" s="327"/>
    </row>
    <row r="305" spans="1:16" x14ac:dyDescent="0.3">
      <c r="A305" s="296"/>
      <c r="B305" s="296"/>
      <c r="C305" s="296"/>
      <c r="D305" s="296"/>
      <c r="E305" s="296"/>
      <c r="I305" s="679"/>
      <c r="L305" s="681"/>
      <c r="P305" s="327"/>
    </row>
    <row r="306" spans="1:16" x14ac:dyDescent="0.3">
      <c r="A306" s="5"/>
      <c r="B306" s="682"/>
      <c r="C306" s="26"/>
      <c r="D306" s="79"/>
      <c r="I306" s="679"/>
      <c r="L306" s="681"/>
      <c r="P306" s="327"/>
    </row>
    <row r="307" spans="1:16" x14ac:dyDescent="0.3">
      <c r="A307" s="5"/>
      <c r="B307" s="682"/>
      <c r="C307" s="26"/>
      <c r="D307" s="79"/>
      <c r="L307" s="681"/>
      <c r="P307" s="327"/>
    </row>
    <row r="308" spans="1:16" x14ac:dyDescent="0.3">
      <c r="D308" s="79"/>
      <c r="P308" s="327"/>
    </row>
    <row r="309" spans="1:16" x14ac:dyDescent="0.3">
      <c r="D309" s="79"/>
      <c r="P309" s="327"/>
    </row>
    <row r="310" spans="1:16" x14ac:dyDescent="0.3">
      <c r="D310" s="79"/>
      <c r="P310" s="327"/>
    </row>
    <row r="311" spans="1:16" x14ac:dyDescent="0.3">
      <c r="D311" s="79"/>
      <c r="P311" s="327"/>
    </row>
    <row r="312" spans="1:16" x14ac:dyDescent="0.3">
      <c r="A312" s="5"/>
      <c r="B312" s="682"/>
      <c r="C312" s="26"/>
      <c r="D312" s="79"/>
      <c r="P312" s="327"/>
    </row>
    <row r="313" spans="1:16" x14ac:dyDescent="0.3">
      <c r="A313" s="5"/>
      <c r="B313" s="682"/>
      <c r="C313" s="26"/>
      <c r="D313" s="79"/>
      <c r="P313" s="327"/>
    </row>
    <row r="314" spans="1:16" x14ac:dyDescent="0.3">
      <c r="D314" s="79"/>
      <c r="P314" s="327"/>
    </row>
    <row r="315" spans="1:16" x14ac:dyDescent="0.3">
      <c r="D315" s="79"/>
      <c r="P315" s="327"/>
    </row>
    <row r="316" spans="1:16" x14ac:dyDescent="0.3">
      <c r="D316" s="79"/>
      <c r="P316" s="327"/>
    </row>
    <row r="317" spans="1:16" x14ac:dyDescent="0.3">
      <c r="D317" s="79"/>
      <c r="P317" s="327"/>
    </row>
    <row r="318" spans="1:16" x14ac:dyDescent="0.3">
      <c r="A318" s="5"/>
      <c r="B318" s="682"/>
      <c r="C318" s="26"/>
      <c r="D318" s="79"/>
      <c r="P318" s="327"/>
    </row>
    <row r="319" spans="1:16" x14ac:dyDescent="0.3">
      <c r="A319" s="5"/>
      <c r="B319" s="682"/>
      <c r="C319" s="26"/>
      <c r="D319" s="79"/>
      <c r="P319" s="327"/>
    </row>
    <row r="320" spans="1:16" x14ac:dyDescent="0.3">
      <c r="D320" s="79"/>
      <c r="P320" s="327"/>
    </row>
    <row r="321" spans="1:16" x14ac:dyDescent="0.3">
      <c r="D321" s="79"/>
      <c r="P321" s="327"/>
    </row>
    <row r="322" spans="1:16" x14ac:dyDescent="0.3">
      <c r="D322" s="79"/>
      <c r="P322" s="327"/>
    </row>
    <row r="323" spans="1:16" x14ac:dyDescent="0.3">
      <c r="D323" s="79"/>
      <c r="P323" s="327"/>
    </row>
    <row r="324" spans="1:16" x14ac:dyDescent="0.3">
      <c r="A324" s="5"/>
      <c r="B324" s="682"/>
      <c r="C324" s="26"/>
      <c r="D324" s="79"/>
      <c r="P324" s="327"/>
    </row>
    <row r="325" spans="1:16" x14ac:dyDescent="0.3">
      <c r="A325" s="5"/>
      <c r="B325" s="682"/>
      <c r="C325" s="26"/>
      <c r="D325" s="79"/>
      <c r="P325" s="327"/>
    </row>
    <row r="326" spans="1:16" x14ac:dyDescent="0.3">
      <c r="A326" s="5"/>
      <c r="B326" s="682"/>
      <c r="C326" s="26"/>
      <c r="D326" s="79"/>
      <c r="P326" s="327"/>
    </row>
    <row r="327" spans="1:16" x14ac:dyDescent="0.3">
      <c r="A327" s="5"/>
      <c r="B327" s="682"/>
      <c r="C327" s="26"/>
      <c r="D327" s="79"/>
      <c r="P327" s="327"/>
    </row>
    <row r="328" spans="1:16" x14ac:dyDescent="0.3">
      <c r="D328" s="79"/>
      <c r="P328" s="327"/>
    </row>
    <row r="329" spans="1:16" x14ac:dyDescent="0.3">
      <c r="D329" s="79"/>
      <c r="P329" s="327"/>
    </row>
    <row r="330" spans="1:16" x14ac:dyDescent="0.3">
      <c r="D330" s="79"/>
      <c r="P330" s="327"/>
    </row>
    <row r="331" spans="1:16" x14ac:dyDescent="0.3">
      <c r="A331" s="5"/>
      <c r="B331" s="682"/>
      <c r="C331" s="26"/>
      <c r="D331" s="79"/>
      <c r="P331" s="327"/>
    </row>
    <row r="332" spans="1:16" x14ac:dyDescent="0.3">
      <c r="A332" s="5"/>
      <c r="B332" s="682"/>
      <c r="C332" s="26"/>
      <c r="D332" s="79"/>
      <c r="P332" s="327"/>
    </row>
    <row r="333" spans="1:16" x14ac:dyDescent="0.3">
      <c r="A333" s="5"/>
      <c r="B333" s="682"/>
      <c r="C333" s="26"/>
      <c r="D333" s="79"/>
      <c r="P333" s="327"/>
    </row>
    <row r="334" spans="1:16" x14ac:dyDescent="0.3">
      <c r="A334" s="5"/>
      <c r="B334" s="682"/>
      <c r="C334" s="26"/>
      <c r="D334" s="79"/>
      <c r="P334" s="327"/>
    </row>
    <row r="335" spans="1:16" x14ac:dyDescent="0.3">
      <c r="A335" s="5"/>
      <c r="B335" s="682"/>
      <c r="C335" s="26"/>
      <c r="D335" s="79"/>
      <c r="P335" s="327"/>
    </row>
    <row r="336" spans="1:16" x14ac:dyDescent="0.3">
      <c r="A336" s="5"/>
      <c r="B336" s="682"/>
      <c r="C336" s="26"/>
      <c r="D336" s="79"/>
      <c r="P336" s="327"/>
    </row>
    <row r="337" spans="1:16" x14ac:dyDescent="0.3">
      <c r="A337" s="5"/>
      <c r="B337" s="682"/>
      <c r="C337" s="26"/>
      <c r="D337" s="79"/>
      <c r="P337" s="327"/>
    </row>
    <row r="338" spans="1:16" x14ac:dyDescent="0.3">
      <c r="A338" s="5"/>
      <c r="B338" s="682"/>
      <c r="C338" s="26"/>
      <c r="D338" s="79"/>
      <c r="P338" s="327"/>
    </row>
    <row r="339" spans="1:16" x14ac:dyDescent="0.3">
      <c r="A339" s="5"/>
      <c r="B339" s="682"/>
      <c r="C339" s="26"/>
      <c r="D339" s="79"/>
      <c r="P339" s="327"/>
    </row>
    <row r="340" spans="1:16" x14ac:dyDescent="0.3">
      <c r="A340" s="5"/>
      <c r="B340" s="682"/>
      <c r="C340" s="26"/>
      <c r="D340" s="79"/>
      <c r="P340" s="327"/>
    </row>
    <row r="341" spans="1:16" x14ac:dyDescent="0.3">
      <c r="A341" s="5"/>
      <c r="B341" s="682"/>
      <c r="C341" s="26"/>
      <c r="D341" s="79"/>
      <c r="P341" s="327"/>
    </row>
    <row r="342" spans="1:16" x14ac:dyDescent="0.3">
      <c r="A342" s="5"/>
      <c r="B342" s="682"/>
      <c r="C342" s="26"/>
      <c r="D342" s="79"/>
      <c r="P342" s="327"/>
    </row>
    <row r="343" spans="1:16" x14ac:dyDescent="0.3">
      <c r="A343" s="5"/>
      <c r="B343" s="682"/>
      <c r="C343" s="26"/>
      <c r="D343" s="79"/>
      <c r="P343" s="327"/>
    </row>
    <row r="344" spans="1:16" x14ac:dyDescent="0.3">
      <c r="A344" s="5"/>
      <c r="B344" s="682"/>
      <c r="C344" s="26"/>
      <c r="D344" s="79"/>
      <c r="P344" s="327"/>
    </row>
    <row r="345" spans="1:16" x14ac:dyDescent="0.3">
      <c r="A345" s="5"/>
      <c r="B345" s="682"/>
      <c r="C345" s="26"/>
      <c r="D345" s="79"/>
      <c r="P345" s="327"/>
    </row>
    <row r="346" spans="1:16" x14ac:dyDescent="0.3">
      <c r="A346" s="5"/>
      <c r="B346" s="682"/>
      <c r="C346" s="26"/>
      <c r="D346" s="79"/>
      <c r="P346" s="327"/>
    </row>
    <row r="347" spans="1:16" x14ac:dyDescent="0.3">
      <c r="A347" s="5"/>
      <c r="B347" s="682"/>
      <c r="C347" s="26"/>
      <c r="D347" s="79"/>
      <c r="P347" s="327"/>
    </row>
    <row r="348" spans="1:16" x14ac:dyDescent="0.3">
      <c r="A348" s="5"/>
      <c r="B348" s="682"/>
      <c r="C348" s="26"/>
      <c r="D348" s="79"/>
      <c r="P348" s="327"/>
    </row>
    <row r="349" spans="1:16" x14ac:dyDescent="0.3">
      <c r="A349" s="5"/>
      <c r="B349" s="682"/>
      <c r="C349" s="26"/>
      <c r="D349" s="79"/>
      <c r="P349" s="327"/>
    </row>
    <row r="350" spans="1:16" x14ac:dyDescent="0.3">
      <c r="A350" s="5"/>
      <c r="B350" s="682"/>
      <c r="C350" s="26"/>
      <c r="D350" s="79"/>
      <c r="P350" s="327"/>
    </row>
    <row r="351" spans="1:16" x14ac:dyDescent="0.3">
      <c r="A351" s="5"/>
      <c r="B351" s="682"/>
      <c r="C351" s="26"/>
      <c r="D351" s="79"/>
      <c r="P351" s="327"/>
    </row>
    <row r="352" spans="1:16" x14ac:dyDescent="0.3">
      <c r="A352" s="5"/>
      <c r="B352" s="682"/>
      <c r="C352" s="26"/>
      <c r="D352" s="79"/>
      <c r="P352" s="327"/>
    </row>
    <row r="353" spans="1:16" x14ac:dyDescent="0.3">
      <c r="A353" s="5"/>
      <c r="B353" s="682"/>
      <c r="C353" s="26"/>
      <c r="D353" s="79"/>
      <c r="P353" s="327"/>
    </row>
    <row r="354" spans="1:16" x14ac:dyDescent="0.3">
      <c r="A354" s="5"/>
      <c r="B354" s="682"/>
      <c r="C354" s="26"/>
      <c r="D354" s="79"/>
      <c r="P354" s="327"/>
    </row>
    <row r="355" spans="1:16" x14ac:dyDescent="0.3">
      <c r="A355" s="5"/>
      <c r="B355" s="682"/>
      <c r="C355" s="26"/>
      <c r="D355" s="79"/>
      <c r="P355" s="327"/>
    </row>
    <row r="356" spans="1:16" x14ac:dyDescent="0.3">
      <c r="A356" s="5"/>
      <c r="B356" s="682"/>
      <c r="C356" s="26"/>
      <c r="D356" s="79"/>
      <c r="P356" s="327"/>
    </row>
    <row r="357" spans="1:16" x14ac:dyDescent="0.3">
      <c r="A357" s="5"/>
      <c r="B357" s="682"/>
      <c r="C357" s="26"/>
      <c r="D357" s="79"/>
      <c r="P357" s="327"/>
    </row>
    <row r="358" spans="1:16" x14ac:dyDescent="0.3">
      <c r="A358" s="5"/>
      <c r="B358" s="682"/>
      <c r="C358" s="26"/>
      <c r="D358" s="79"/>
      <c r="P358" s="327"/>
    </row>
    <row r="359" spans="1:16" x14ac:dyDescent="0.3">
      <c r="A359" s="5"/>
      <c r="B359" s="682"/>
      <c r="C359" s="26"/>
      <c r="D359" s="79"/>
      <c r="P359" s="327"/>
    </row>
    <row r="360" spans="1:16" x14ac:dyDescent="0.3">
      <c r="A360" s="5"/>
      <c r="B360" s="682"/>
      <c r="C360" s="26"/>
      <c r="D360" s="79"/>
      <c r="P360" s="327"/>
    </row>
    <row r="361" spans="1:16" x14ac:dyDescent="0.3">
      <c r="A361" s="5"/>
      <c r="B361" s="682"/>
      <c r="C361" s="26"/>
      <c r="D361" s="79"/>
      <c r="P361" s="327"/>
    </row>
    <row r="362" spans="1:16" x14ac:dyDescent="0.3">
      <c r="A362" s="5"/>
      <c r="B362" s="682"/>
      <c r="C362" s="26"/>
      <c r="D362" s="79"/>
      <c r="P362" s="327"/>
    </row>
    <row r="363" spans="1:16" x14ac:dyDescent="0.3">
      <c r="A363" s="5"/>
      <c r="B363" s="682"/>
      <c r="C363" s="26"/>
      <c r="D363" s="79"/>
      <c r="P363" s="327"/>
    </row>
    <row r="364" spans="1:16" x14ac:dyDescent="0.3">
      <c r="A364" s="5"/>
      <c r="B364" s="682"/>
      <c r="C364" s="26"/>
      <c r="D364" s="79"/>
      <c r="P364" s="327"/>
    </row>
    <row r="365" spans="1:16" x14ac:dyDescent="0.3">
      <c r="A365" s="5"/>
      <c r="B365" s="682"/>
      <c r="C365" s="26"/>
      <c r="D365" s="79"/>
      <c r="P365" s="327"/>
    </row>
    <row r="366" spans="1:16" x14ac:dyDescent="0.3">
      <c r="A366" s="5"/>
      <c r="B366" s="682"/>
      <c r="C366" s="26"/>
      <c r="D366" s="79"/>
      <c r="P366" s="327"/>
    </row>
    <row r="367" spans="1:16" x14ac:dyDescent="0.3">
      <c r="A367" s="5"/>
      <c r="B367" s="682"/>
      <c r="C367" s="26"/>
      <c r="D367" s="79"/>
      <c r="P367" s="327"/>
    </row>
    <row r="368" spans="1:16" x14ac:dyDescent="0.3">
      <c r="A368" s="5"/>
      <c r="B368" s="682"/>
      <c r="C368" s="26"/>
      <c r="D368" s="79"/>
      <c r="P368" s="327"/>
    </row>
    <row r="369" spans="1:16" x14ac:dyDescent="0.3">
      <c r="A369" s="5"/>
      <c r="B369" s="682"/>
      <c r="C369" s="26"/>
      <c r="D369" s="79"/>
      <c r="P369" s="327"/>
    </row>
    <row r="370" spans="1:16" x14ac:dyDescent="0.3">
      <c r="A370" s="5"/>
      <c r="B370" s="682"/>
      <c r="C370" s="26"/>
      <c r="D370" s="79"/>
      <c r="P370" s="327"/>
    </row>
    <row r="371" spans="1:16" x14ac:dyDescent="0.3">
      <c r="A371" s="5"/>
      <c r="B371" s="682"/>
      <c r="C371" s="26"/>
      <c r="D371" s="79"/>
      <c r="P371" s="327"/>
    </row>
    <row r="372" spans="1:16" x14ac:dyDescent="0.3">
      <c r="A372" s="5"/>
      <c r="B372" s="682"/>
      <c r="C372" s="26"/>
      <c r="D372" s="79"/>
      <c r="P372" s="327"/>
    </row>
    <row r="373" spans="1:16" x14ac:dyDescent="0.3">
      <c r="A373" s="5"/>
      <c r="B373" s="682"/>
      <c r="C373" s="26"/>
      <c r="D373" s="79"/>
      <c r="P373" s="327"/>
    </row>
    <row r="374" spans="1:16" x14ac:dyDescent="0.3">
      <c r="A374" s="5"/>
      <c r="B374" s="682"/>
      <c r="C374" s="26"/>
      <c r="D374" s="79"/>
      <c r="P374" s="327"/>
    </row>
    <row r="375" spans="1:16" x14ac:dyDescent="0.3">
      <c r="A375" s="5"/>
      <c r="B375" s="682"/>
      <c r="C375" s="26"/>
      <c r="D375" s="79"/>
      <c r="P375" s="327"/>
    </row>
    <row r="376" spans="1:16" x14ac:dyDescent="0.3">
      <c r="A376" s="5"/>
      <c r="B376" s="682"/>
      <c r="C376" s="26"/>
      <c r="D376" s="79"/>
      <c r="P376" s="327"/>
    </row>
    <row r="377" spans="1:16" x14ac:dyDescent="0.3">
      <c r="A377" s="5"/>
      <c r="B377" s="682"/>
      <c r="C377" s="26"/>
      <c r="D377" s="79"/>
      <c r="P377" s="327"/>
    </row>
    <row r="378" spans="1:16" x14ac:dyDescent="0.3">
      <c r="A378" s="5"/>
      <c r="B378" s="682"/>
      <c r="C378" s="26"/>
      <c r="D378" s="79"/>
      <c r="P378" s="327"/>
    </row>
    <row r="379" spans="1:16" x14ac:dyDescent="0.3">
      <c r="A379" s="5"/>
      <c r="B379" s="682"/>
      <c r="C379" s="26"/>
      <c r="D379" s="79"/>
      <c r="P379" s="327"/>
    </row>
    <row r="380" spans="1:16" x14ac:dyDescent="0.3">
      <c r="A380" s="5"/>
      <c r="B380" s="682"/>
      <c r="C380" s="26"/>
      <c r="D380" s="79"/>
      <c r="P380" s="327"/>
    </row>
    <row r="381" spans="1:16" x14ac:dyDescent="0.3">
      <c r="A381" s="5"/>
      <c r="B381" s="682"/>
      <c r="C381" s="26"/>
      <c r="D381" s="79"/>
      <c r="P381" s="327"/>
    </row>
    <row r="382" spans="1:16" x14ac:dyDescent="0.3">
      <c r="A382" s="5"/>
      <c r="B382" s="682"/>
      <c r="C382" s="26"/>
      <c r="D382" s="79"/>
      <c r="P382" s="327"/>
    </row>
    <row r="383" spans="1:16" x14ac:dyDescent="0.3">
      <c r="A383" s="5"/>
      <c r="B383" s="682"/>
      <c r="C383" s="26"/>
      <c r="D383" s="79"/>
      <c r="P383" s="327"/>
    </row>
    <row r="384" spans="1:16" x14ac:dyDescent="0.3">
      <c r="A384" s="5"/>
      <c r="B384" s="682"/>
      <c r="C384" s="26"/>
      <c r="D384" s="79"/>
      <c r="P384" s="327"/>
    </row>
    <row r="385" spans="1:16" x14ac:dyDescent="0.3">
      <c r="A385" s="5"/>
      <c r="B385" s="682"/>
      <c r="C385" s="26"/>
      <c r="D385" s="79"/>
      <c r="P385" s="327"/>
    </row>
    <row r="386" spans="1:16" x14ac:dyDescent="0.3">
      <c r="A386" s="5"/>
      <c r="B386" s="682"/>
      <c r="C386" s="26"/>
      <c r="D386" s="79"/>
      <c r="P386" s="327"/>
    </row>
    <row r="387" spans="1:16" x14ac:dyDescent="0.3">
      <c r="A387" s="5"/>
      <c r="B387" s="682"/>
      <c r="C387" s="26"/>
      <c r="D387" s="79"/>
      <c r="P387" s="327"/>
    </row>
    <row r="388" spans="1:16" x14ac:dyDescent="0.3">
      <c r="A388" s="5"/>
      <c r="B388" s="682"/>
      <c r="C388" s="26"/>
      <c r="D388" s="79"/>
      <c r="P388" s="327"/>
    </row>
    <row r="389" spans="1:16" x14ac:dyDescent="0.3">
      <c r="A389" s="5"/>
      <c r="B389" s="682"/>
      <c r="C389" s="26"/>
      <c r="D389" s="79"/>
      <c r="P389" s="327"/>
    </row>
    <row r="390" spans="1:16" x14ac:dyDescent="0.3">
      <c r="A390" s="5"/>
      <c r="B390" s="682"/>
      <c r="C390" s="26"/>
      <c r="D390" s="79"/>
      <c r="P390" s="327"/>
    </row>
    <row r="391" spans="1:16" x14ac:dyDescent="0.3">
      <c r="A391" s="5"/>
      <c r="B391" s="682"/>
      <c r="C391" s="26"/>
      <c r="D391" s="79"/>
      <c r="P391" s="327"/>
    </row>
    <row r="392" spans="1:16" x14ac:dyDescent="0.3">
      <c r="A392" s="5"/>
      <c r="B392" s="682"/>
      <c r="C392" s="26"/>
      <c r="D392" s="79"/>
      <c r="P392" s="327"/>
    </row>
    <row r="393" spans="1:16" x14ac:dyDescent="0.3">
      <c r="A393" s="5"/>
      <c r="B393" s="682"/>
      <c r="C393" s="26"/>
      <c r="D393" s="79"/>
      <c r="P393" s="327"/>
    </row>
    <row r="394" spans="1:16" x14ac:dyDescent="0.3">
      <c r="A394" s="5"/>
      <c r="B394" s="682"/>
      <c r="C394" s="26"/>
      <c r="D394" s="79"/>
      <c r="P394" s="327"/>
    </row>
    <row r="395" spans="1:16" x14ac:dyDescent="0.3">
      <c r="A395" s="5"/>
      <c r="B395" s="682"/>
      <c r="C395" s="26"/>
      <c r="D395" s="79"/>
      <c r="P395" s="327"/>
    </row>
    <row r="396" spans="1:16" x14ac:dyDescent="0.3">
      <c r="A396" s="5"/>
      <c r="B396" s="682"/>
      <c r="C396" s="26"/>
      <c r="D396" s="79"/>
      <c r="P396" s="327"/>
    </row>
    <row r="397" spans="1:16" x14ac:dyDescent="0.3">
      <c r="A397" s="5"/>
      <c r="B397" s="682"/>
      <c r="C397" s="26"/>
      <c r="D397" s="79"/>
      <c r="P397" s="327"/>
    </row>
    <row r="398" spans="1:16" x14ac:dyDescent="0.3">
      <c r="A398" s="5"/>
      <c r="B398" s="682"/>
      <c r="C398" s="26"/>
      <c r="D398" s="79"/>
      <c r="P398" s="327"/>
    </row>
    <row r="399" spans="1:16" x14ac:dyDescent="0.3">
      <c r="A399" s="5"/>
      <c r="B399" s="682"/>
      <c r="C399" s="26"/>
      <c r="D399" s="79"/>
      <c r="P399" s="327"/>
    </row>
    <row r="400" spans="1:16" x14ac:dyDescent="0.3">
      <c r="A400" s="5"/>
      <c r="B400" s="682"/>
      <c r="C400" s="26"/>
      <c r="D400" s="79"/>
      <c r="P400" s="327"/>
    </row>
    <row r="401" spans="1:16" x14ac:dyDescent="0.3">
      <c r="A401" s="5"/>
      <c r="B401" s="682"/>
      <c r="C401" s="26"/>
      <c r="D401" s="79"/>
      <c r="P401" s="327"/>
    </row>
    <row r="402" spans="1:16" x14ac:dyDescent="0.3">
      <c r="A402" s="5"/>
      <c r="B402" s="682"/>
      <c r="C402" s="26"/>
      <c r="D402" s="79"/>
      <c r="P402" s="327"/>
    </row>
    <row r="403" spans="1:16" x14ac:dyDescent="0.3">
      <c r="A403" s="5"/>
      <c r="B403" s="682"/>
      <c r="C403" s="26"/>
      <c r="D403" s="79"/>
      <c r="P403" s="327"/>
    </row>
    <row r="404" spans="1:16" x14ac:dyDescent="0.3">
      <c r="A404" s="5"/>
      <c r="B404" s="682"/>
      <c r="C404" s="26"/>
      <c r="D404" s="79"/>
      <c r="P404" s="327"/>
    </row>
    <row r="405" spans="1:16" x14ac:dyDescent="0.3">
      <c r="A405" s="5"/>
      <c r="B405" s="682"/>
      <c r="C405" s="26"/>
      <c r="D405" s="79"/>
      <c r="P405" s="327"/>
    </row>
    <row r="406" spans="1:16" x14ac:dyDescent="0.3">
      <c r="A406" s="5"/>
      <c r="B406" s="682"/>
      <c r="C406" s="26"/>
      <c r="D406" s="79"/>
      <c r="P406" s="327"/>
    </row>
    <row r="407" spans="1:16" x14ac:dyDescent="0.3">
      <c r="A407" s="5"/>
      <c r="B407" s="682"/>
      <c r="C407" s="26"/>
      <c r="D407" s="79"/>
      <c r="P407" s="327"/>
    </row>
    <row r="408" spans="1:16" x14ac:dyDescent="0.3">
      <c r="A408" s="5"/>
      <c r="B408" s="682"/>
      <c r="C408" s="26"/>
      <c r="D408" s="79"/>
      <c r="P408" s="327"/>
    </row>
    <row r="409" spans="1:16" x14ac:dyDescent="0.3">
      <c r="A409" s="5"/>
      <c r="B409" s="682"/>
      <c r="C409" s="26"/>
      <c r="D409" s="79"/>
      <c r="P409" s="327"/>
    </row>
    <row r="410" spans="1:16" x14ac:dyDescent="0.3">
      <c r="A410" s="5"/>
      <c r="B410" s="682"/>
      <c r="C410" s="26"/>
      <c r="D410" s="79"/>
      <c r="P410" s="327"/>
    </row>
    <row r="411" spans="1:16" x14ac:dyDescent="0.3">
      <c r="A411" s="5"/>
      <c r="B411" s="682"/>
      <c r="C411" s="26"/>
      <c r="D411" s="79"/>
      <c r="P411" s="327"/>
    </row>
    <row r="412" spans="1:16" x14ac:dyDescent="0.3">
      <c r="A412" s="5"/>
      <c r="B412" s="682"/>
      <c r="C412" s="26"/>
      <c r="D412" s="79"/>
      <c r="P412" s="327"/>
    </row>
    <row r="413" spans="1:16" x14ac:dyDescent="0.3">
      <c r="A413" s="5"/>
      <c r="B413" s="682"/>
      <c r="C413" s="26"/>
      <c r="D413" s="79"/>
      <c r="P413" s="327"/>
    </row>
    <row r="414" spans="1:16" x14ac:dyDescent="0.3">
      <c r="A414" s="5"/>
      <c r="B414" s="682"/>
      <c r="C414" s="26"/>
      <c r="D414" s="79"/>
      <c r="P414" s="327"/>
    </row>
    <row r="415" spans="1:16" x14ac:dyDescent="0.3">
      <c r="A415" s="5"/>
      <c r="B415" s="682"/>
      <c r="C415" s="26"/>
      <c r="D415" s="79"/>
      <c r="P415" s="327"/>
    </row>
    <row r="416" spans="1:16" x14ac:dyDescent="0.3">
      <c r="A416" s="5"/>
      <c r="B416" s="682"/>
      <c r="C416" s="26"/>
      <c r="D416" s="79"/>
      <c r="P416" s="327"/>
    </row>
    <row r="417" spans="1:16" x14ac:dyDescent="0.3">
      <c r="A417" s="5"/>
      <c r="B417" s="682"/>
      <c r="C417" s="26"/>
      <c r="D417" s="79"/>
      <c r="P417" s="327"/>
    </row>
    <row r="418" spans="1:16" x14ac:dyDescent="0.3">
      <c r="A418" s="5"/>
      <c r="B418" s="682"/>
      <c r="C418" s="26"/>
      <c r="D418" s="79"/>
      <c r="P418" s="327"/>
    </row>
    <row r="419" spans="1:16" x14ac:dyDescent="0.3">
      <c r="A419" s="5"/>
      <c r="B419" s="682"/>
      <c r="C419" s="26"/>
      <c r="D419" s="79"/>
      <c r="P419" s="327"/>
    </row>
    <row r="420" spans="1:16" x14ac:dyDescent="0.3">
      <c r="A420" s="5"/>
      <c r="B420" s="682"/>
      <c r="C420" s="26"/>
      <c r="D420" s="79"/>
      <c r="P420" s="327"/>
    </row>
    <row r="421" spans="1:16" x14ac:dyDescent="0.3">
      <c r="A421" s="5"/>
      <c r="B421" s="682"/>
      <c r="C421" s="26"/>
      <c r="D421" s="79"/>
      <c r="P421" s="327"/>
    </row>
    <row r="422" spans="1:16" x14ac:dyDescent="0.3">
      <c r="A422" s="5"/>
      <c r="B422" s="682"/>
      <c r="C422" s="26"/>
      <c r="D422" s="79"/>
      <c r="P422" s="327"/>
    </row>
    <row r="423" spans="1:16" x14ac:dyDescent="0.3">
      <c r="A423" s="5"/>
      <c r="B423" s="682"/>
      <c r="C423" s="26"/>
      <c r="D423" s="79"/>
      <c r="P423" s="327"/>
    </row>
    <row r="424" spans="1:16" x14ac:dyDescent="0.3">
      <c r="A424" s="5"/>
      <c r="B424" s="682"/>
      <c r="C424" s="26"/>
      <c r="D424" s="79"/>
      <c r="P424" s="327"/>
    </row>
    <row r="425" spans="1:16" x14ac:dyDescent="0.3">
      <c r="A425" s="5"/>
      <c r="B425" s="682"/>
      <c r="C425" s="26"/>
      <c r="D425" s="79"/>
      <c r="P425" s="327"/>
    </row>
    <row r="426" spans="1:16" x14ac:dyDescent="0.3">
      <c r="A426" s="5"/>
      <c r="B426" s="682"/>
      <c r="C426" s="26"/>
      <c r="D426" s="79"/>
      <c r="P426" s="327"/>
    </row>
    <row r="427" spans="1:16" x14ac:dyDescent="0.3">
      <c r="A427" s="5"/>
      <c r="B427" s="682"/>
      <c r="C427" s="26"/>
      <c r="D427" s="79"/>
      <c r="P427" s="327"/>
    </row>
    <row r="428" spans="1:16" x14ac:dyDescent="0.3">
      <c r="A428" s="5"/>
      <c r="B428" s="682"/>
      <c r="C428" s="26"/>
      <c r="D428" s="79"/>
      <c r="P428" s="327"/>
    </row>
    <row r="429" spans="1:16" x14ac:dyDescent="0.3">
      <c r="A429" s="5"/>
      <c r="B429" s="682"/>
      <c r="C429" s="26"/>
      <c r="D429" s="79"/>
    </row>
    <row r="430" spans="1:16" x14ac:dyDescent="0.3">
      <c r="A430" s="5"/>
      <c r="B430" s="682"/>
      <c r="C430" s="26"/>
      <c r="D430" s="79"/>
      <c r="P430" s="327"/>
    </row>
    <row r="431" spans="1:16" x14ac:dyDescent="0.3">
      <c r="A431" s="5"/>
      <c r="B431" s="682"/>
      <c r="C431" s="26"/>
      <c r="D431" s="79"/>
    </row>
    <row r="432" spans="1:16" x14ac:dyDescent="0.3">
      <c r="A432" s="5"/>
      <c r="B432" s="682"/>
      <c r="C432" s="26"/>
      <c r="D432" s="79"/>
    </row>
    <row r="433" spans="1:4" x14ac:dyDescent="0.3">
      <c r="A433" s="5"/>
      <c r="B433" s="682"/>
      <c r="C433" s="26"/>
      <c r="D433" s="79"/>
    </row>
    <row r="434" spans="1:4" x14ac:dyDescent="0.3">
      <c r="A434" s="5"/>
      <c r="B434" s="682"/>
      <c r="C434" s="26"/>
      <c r="D434" s="79"/>
    </row>
    <row r="435" spans="1:4" x14ac:dyDescent="0.3">
      <c r="A435" s="5"/>
      <c r="B435" s="682"/>
      <c r="C435" s="26"/>
      <c r="D435" s="79"/>
    </row>
    <row r="436" spans="1:4" x14ac:dyDescent="0.3">
      <c r="A436" s="5"/>
      <c r="B436" s="682"/>
      <c r="C436" s="26"/>
      <c r="D436" s="79"/>
    </row>
    <row r="437" spans="1:4" x14ac:dyDescent="0.3">
      <c r="A437" s="5"/>
      <c r="B437" s="682"/>
      <c r="C437" s="26"/>
      <c r="D437" s="79"/>
    </row>
    <row r="438" spans="1:4" x14ac:dyDescent="0.3">
      <c r="A438" s="5"/>
      <c r="B438" s="682"/>
      <c r="C438" s="26"/>
      <c r="D438" s="79"/>
    </row>
    <row r="439" spans="1:4" x14ac:dyDescent="0.3">
      <c r="A439" s="5"/>
      <c r="B439" s="682"/>
      <c r="C439" s="26"/>
      <c r="D439" s="79"/>
    </row>
    <row r="440" spans="1:4" x14ac:dyDescent="0.3">
      <c r="A440" s="5"/>
      <c r="B440" s="682"/>
      <c r="C440" s="26"/>
      <c r="D440" s="79"/>
    </row>
    <row r="441" spans="1:4" x14ac:dyDescent="0.3">
      <c r="A441" s="5"/>
      <c r="B441" s="682"/>
      <c r="C441" s="26"/>
      <c r="D441" s="79"/>
    </row>
    <row r="442" spans="1:4" x14ac:dyDescent="0.3">
      <c r="A442" s="5"/>
      <c r="B442" s="682"/>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3" priority="93" stopIfTrue="1" operator="notEqual">
      <formula>0</formula>
    </cfRule>
  </conditionalFormatting>
  <conditionalFormatting sqref="G34">
    <cfRule type="cellIs" dxfId="72" priority="92" stopIfTrue="1" operator="notEqual">
      <formula>0</formula>
    </cfRule>
  </conditionalFormatting>
  <conditionalFormatting sqref="G65">
    <cfRule type="cellIs" dxfId="71" priority="91" stopIfTrue="1" operator="notEqual">
      <formula>0</formula>
    </cfRule>
  </conditionalFormatting>
  <conditionalFormatting sqref="G79">
    <cfRule type="cellIs" dxfId="70" priority="90" stopIfTrue="1" operator="notEqual">
      <formula>0</formula>
    </cfRule>
  </conditionalFormatting>
  <conditionalFormatting sqref="G80:G90">
    <cfRule type="cellIs" dxfId="69" priority="89" stopIfTrue="1" operator="notEqual">
      <formula>0</formula>
    </cfRule>
  </conditionalFormatting>
  <conditionalFormatting sqref="G133">
    <cfRule type="cellIs" dxfId="68" priority="88" stopIfTrue="1" operator="notEqual">
      <formula>0</formula>
    </cfRule>
  </conditionalFormatting>
  <conditionalFormatting sqref="G151">
    <cfRule type="cellIs" dxfId="67" priority="87" stopIfTrue="1" operator="notEqual">
      <formula>0</formula>
    </cfRule>
  </conditionalFormatting>
  <conditionalFormatting sqref="G163">
    <cfRule type="cellIs" dxfId="66" priority="86" stopIfTrue="1" operator="notEqual">
      <formula>0</formula>
    </cfRule>
  </conditionalFormatting>
  <conditionalFormatting sqref="G164">
    <cfRule type="cellIs" dxfId="65" priority="85" stopIfTrue="1" operator="notEqual">
      <formula>0</formula>
    </cfRule>
  </conditionalFormatting>
  <conditionalFormatting sqref="G178">
    <cfRule type="cellIs" dxfId="64" priority="84" stopIfTrue="1" operator="notEqual">
      <formula>0</formula>
    </cfRule>
  </conditionalFormatting>
  <conditionalFormatting sqref="G179">
    <cfRule type="cellIs" dxfId="63" priority="83" stopIfTrue="1" operator="notEqual">
      <formula>0</formula>
    </cfRule>
  </conditionalFormatting>
  <conditionalFormatting sqref="H237:H239">
    <cfRule type="cellIs" priority="79" stopIfTrue="1" operator="equal">
      <formula>";;;"</formula>
    </cfRule>
  </conditionalFormatting>
  <conditionalFormatting sqref="H237">
    <cfRule type="cellIs" dxfId="62" priority="78" stopIfTrue="1" operator="equal">
      <formula>0</formula>
    </cfRule>
  </conditionalFormatting>
  <conditionalFormatting sqref="H238">
    <cfRule type="cellIs" dxfId="61" priority="77" stopIfTrue="1" operator="equal">
      <formula>0</formula>
    </cfRule>
  </conditionalFormatting>
  <conditionalFormatting sqref="H239">
    <cfRule type="cellIs" dxfId="60" priority="76" stopIfTrue="1" operator="equal">
      <formula>0</formula>
    </cfRule>
  </conditionalFormatting>
  <conditionalFormatting sqref="H239">
    <cfRule type="cellIs" dxfId="59" priority="75" stopIfTrue="1" operator="equal">
      <formula>0</formula>
    </cfRule>
  </conditionalFormatting>
  <conditionalFormatting sqref="H237">
    <cfRule type="cellIs" dxfId="58" priority="74" stopIfTrue="1" operator="equal">
      <formula>0</formula>
    </cfRule>
  </conditionalFormatting>
  <conditionalFormatting sqref="G21">
    <cfRule type="cellIs" dxfId="57" priority="73" stopIfTrue="1" operator="notEqual">
      <formula>0</formula>
    </cfRule>
  </conditionalFormatting>
  <conditionalFormatting sqref="G7">
    <cfRule type="containsText" dxfId="56" priority="71" stopIfTrue="1" operator="containsText" text="Included in error count">
      <formula>NOT(ISERROR(SEARCH("Included in error count",G7)))</formula>
    </cfRule>
    <cfRule type="cellIs" dxfId="55" priority="72" stopIfTrue="1" operator="equal">
      <formula>1</formula>
    </cfRule>
  </conditionalFormatting>
  <conditionalFormatting sqref="G55">
    <cfRule type="containsText" dxfId="54" priority="69" stopIfTrue="1" operator="containsText" text="Included in error count">
      <formula>NOT(ISERROR(SEARCH("Included in error count",G55)))</formula>
    </cfRule>
    <cfRule type="cellIs" dxfId="53" priority="70" stopIfTrue="1" operator="equal">
      <formula>1</formula>
    </cfRule>
  </conditionalFormatting>
  <conditionalFormatting sqref="G120:G121">
    <cfRule type="containsText" dxfId="52" priority="67" stopIfTrue="1" operator="containsText" text="Included in error count">
      <formula>NOT(ISERROR(SEARCH("Included in error count",G120)))</formula>
    </cfRule>
    <cfRule type="cellIs" dxfId="51" priority="68" stopIfTrue="1" operator="equal">
      <formula>1</formula>
    </cfRule>
  </conditionalFormatting>
  <conditionalFormatting sqref="G122">
    <cfRule type="containsText" dxfId="50" priority="65" stopIfTrue="1" operator="containsText" text="Included in error count">
      <formula>NOT(ISERROR(SEARCH("Included in error count",G122)))</formula>
    </cfRule>
    <cfRule type="cellIs" dxfId="49" priority="66" stopIfTrue="1" operator="equal">
      <formula>1</formula>
    </cfRule>
  </conditionalFormatting>
  <conditionalFormatting sqref="G131">
    <cfRule type="containsText" dxfId="48" priority="61" stopIfTrue="1" operator="containsText" text="Included in error count">
      <formula>NOT(ISERROR(SEARCH("Included in error count",G131)))</formula>
    </cfRule>
    <cfRule type="cellIs" dxfId="47" priority="62" stopIfTrue="1" operator="equal">
      <formula>1</formula>
    </cfRule>
  </conditionalFormatting>
  <conditionalFormatting sqref="G153">
    <cfRule type="containsText" dxfId="46" priority="57" stopIfTrue="1" operator="containsText" text="Included in error count">
      <formula>NOT(ISERROR(SEARCH("Included in error count",G153)))</formula>
    </cfRule>
    <cfRule type="cellIs" dxfId="45" priority="58" stopIfTrue="1" operator="equal">
      <formula>1</formula>
    </cfRule>
  </conditionalFormatting>
  <conditionalFormatting sqref="G237">
    <cfRule type="containsText" dxfId="44" priority="46" stopIfTrue="1" operator="containsText" text="Included in error count">
      <formula>NOT(ISERROR(SEARCH("Included in error count",G237)))</formula>
    </cfRule>
    <cfRule type="cellIs" dxfId="43" priority="47" stopIfTrue="1" operator="equal">
      <formula>1</formula>
    </cfRule>
  </conditionalFormatting>
  <conditionalFormatting sqref="G238">
    <cfRule type="containsText" dxfId="42" priority="44" stopIfTrue="1" operator="containsText" text="Included in error count">
      <formula>NOT(ISERROR(SEARCH("Included in error count",G238)))</formula>
    </cfRule>
    <cfRule type="cellIs" dxfId="41" priority="45" stopIfTrue="1" operator="equal">
      <formula>1</formula>
    </cfRule>
  </conditionalFormatting>
  <conditionalFormatting sqref="G239">
    <cfRule type="containsText" dxfId="40" priority="42" stopIfTrue="1" operator="containsText" text="Included in error count">
      <formula>NOT(ISERROR(SEARCH("Included in error count",G239)))</formula>
    </cfRule>
    <cfRule type="cellIs" dxfId="39" priority="43" stopIfTrue="1" operator="equal">
      <formula>1</formula>
    </cfRule>
  </conditionalFormatting>
  <conditionalFormatting sqref="G168">
    <cfRule type="containsText" dxfId="38" priority="40" stopIfTrue="1" operator="containsText" text="Included in error count">
      <formula>NOT(ISERROR(SEARCH("Included in error count",G168)))</formula>
    </cfRule>
    <cfRule type="cellIs" dxfId="37"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zoomScale="70" zoomScaleNormal="70" workbookViewId="0">
      <selection activeCell="F9" sqref="F9"/>
    </sheetView>
  </sheetViews>
  <sheetFormatPr defaultColWidth="9.109375" defaultRowHeight="14.4" x14ac:dyDescent="0.3"/>
  <cols>
    <col min="1" max="1" width="44.5546875" style="967" customWidth="1"/>
    <col min="2" max="2" width="17.109375" style="967" customWidth="1"/>
    <col min="3" max="3" width="19" style="967" customWidth="1"/>
    <col min="4" max="4" width="19.109375" style="967" customWidth="1"/>
    <col min="5" max="5" width="15.109375" style="967" customWidth="1"/>
    <col min="6" max="6" width="12.88671875" style="967" customWidth="1"/>
    <col min="7" max="7" width="43.88671875" style="1053" hidden="1" customWidth="1"/>
    <col min="8" max="8" width="77.5546875" style="967" customWidth="1"/>
    <col min="9" max="9" width="91" style="968" customWidth="1"/>
    <col min="10" max="10" width="46.109375" style="968" customWidth="1"/>
    <col min="11" max="11" width="9.109375" style="968" hidden="1" customWidth="1"/>
    <col min="12" max="12" width="36.88671875" style="270" hidden="1" customWidth="1"/>
    <col min="13" max="14" width="15.6640625" style="270" hidden="1" customWidth="1"/>
    <col min="15" max="15" width="56.33203125" style="270" customWidth="1"/>
    <col min="16" max="16" width="11.109375" style="966" customWidth="1"/>
    <col min="17" max="18" width="9.109375" style="967" customWidth="1"/>
    <col min="19" max="16384" width="9.109375" style="967"/>
  </cols>
  <sheetData>
    <row r="1" spans="1:78" ht="40.5" customHeight="1" thickBot="1" x14ac:dyDescent="0.35">
      <c r="A1" s="1240" t="s">
        <v>1641</v>
      </c>
      <c r="B1" s="1241"/>
      <c r="C1" s="1241"/>
      <c r="D1" s="1241"/>
      <c r="E1" s="1241"/>
      <c r="F1" s="1241"/>
      <c r="G1" s="1241"/>
      <c r="H1" s="1242"/>
      <c r="I1" s="1280" t="s">
        <v>1679</v>
      </c>
      <c r="J1" s="1281"/>
      <c r="K1" s="1040"/>
    </row>
    <row r="2" spans="1:78" ht="72" customHeight="1" thickBot="1" x14ac:dyDescent="0.35">
      <c r="A2" s="1243" t="s">
        <v>1642</v>
      </c>
      <c r="B2" s="1244"/>
      <c r="C2" s="1244"/>
      <c r="D2" s="1244"/>
      <c r="E2" s="1244"/>
      <c r="F2" s="1244"/>
      <c r="G2" s="1244"/>
      <c r="H2" s="1245"/>
      <c r="I2" s="1282" t="s">
        <v>1678</v>
      </c>
      <c r="J2" s="1286" t="s">
        <v>1374</v>
      </c>
      <c r="K2" s="1068"/>
    </row>
    <row r="3" spans="1:78" ht="15" customHeight="1" x14ac:dyDescent="0.3">
      <c r="A3" s="1169" t="s">
        <v>1043</v>
      </c>
      <c r="B3" s="1031"/>
      <c r="C3" s="1031"/>
      <c r="D3" s="1031"/>
      <c r="E3" s="1170"/>
      <c r="F3" s="1170"/>
      <c r="G3" s="1246"/>
      <c r="H3" s="1247"/>
      <c r="I3" s="1283"/>
      <c r="J3" s="1287"/>
      <c r="K3" s="1068"/>
    </row>
    <row r="4" spans="1:78" ht="21.75" customHeight="1" x14ac:dyDescent="0.3">
      <c r="A4" s="969" t="s">
        <v>1126</v>
      </c>
      <c r="B4" s="1248" t="str">
        <f>'Unit Data from Audit Worksheet'!D2</f>
        <v>Select Unit Name from Drop Down List</v>
      </c>
      <c r="C4" s="1248"/>
      <c r="D4" s="1248"/>
      <c r="E4" s="1249" t="s">
        <v>1643</v>
      </c>
      <c r="F4" s="1250"/>
      <c r="G4" s="970"/>
      <c r="H4" s="1251" t="s">
        <v>1046</v>
      </c>
      <c r="I4" s="1284"/>
      <c r="J4" s="1287"/>
      <c r="K4" s="1069"/>
      <c r="L4" s="971"/>
    </row>
    <row r="5" spans="1:78" ht="21.6" thickBot="1" x14ac:dyDescent="0.35">
      <c r="A5" s="972" t="s">
        <v>1045</v>
      </c>
      <c r="B5" s="1253" t="e">
        <f>'Unit Data from Audit Worksheet'!D3</f>
        <v>#N/A</v>
      </c>
      <c r="C5" s="1253"/>
      <c r="D5" s="1253"/>
      <c r="E5" s="1249"/>
      <c r="F5" s="1250"/>
      <c r="G5" s="973"/>
      <c r="H5" s="1252"/>
      <c r="I5" s="1285"/>
      <c r="J5" s="1288"/>
      <c r="K5" s="965"/>
      <c r="L5" s="170" t="s">
        <v>1084</v>
      </c>
    </row>
    <row r="6" spans="1:78" ht="185.1" customHeight="1" thickBot="1" x14ac:dyDescent="0.35">
      <c r="A6" s="1257"/>
      <c r="B6" s="1258"/>
      <c r="C6" s="1258"/>
      <c r="D6" s="1258"/>
      <c r="E6" s="1258"/>
      <c r="F6" s="1259"/>
      <c r="G6" s="1035"/>
      <c r="H6" s="1263" t="s">
        <v>1644</v>
      </c>
      <c r="I6" s="1057"/>
      <c r="J6" s="1289"/>
      <c r="K6" s="965"/>
      <c r="L6" s="974"/>
    </row>
    <row r="7" spans="1:78" ht="132" customHeight="1" thickBot="1" x14ac:dyDescent="0.35">
      <c r="A7" s="1260"/>
      <c r="B7" s="1261"/>
      <c r="C7" s="1261"/>
      <c r="D7" s="1261"/>
      <c r="E7" s="1261"/>
      <c r="F7" s="1262"/>
      <c r="G7" s="1035"/>
      <c r="H7" s="1264"/>
      <c r="I7" s="975"/>
      <c r="J7" s="1290"/>
      <c r="K7" s="965"/>
      <c r="L7" s="974">
        <f>+(Import!$L$72+Import!$L$77+Import!$L$74-Import!$L$75-Import!$L$76)</f>
        <v>0</v>
      </c>
    </row>
    <row r="8" spans="1:78" ht="27.75" customHeight="1" thickBot="1" x14ac:dyDescent="0.35">
      <c r="A8" s="1266" t="s">
        <v>1645</v>
      </c>
      <c r="B8" s="1266"/>
      <c r="C8" s="1266"/>
      <c r="D8" s="1266"/>
      <c r="E8" s="976" t="s">
        <v>1335</v>
      </c>
      <c r="F8" s="976" t="s">
        <v>1646</v>
      </c>
      <c r="G8" s="977" t="s">
        <v>1051</v>
      </c>
      <c r="H8" s="1265"/>
      <c r="I8" s="978"/>
      <c r="J8" s="1291"/>
      <c r="K8" s="965"/>
      <c r="L8" s="973" t="b">
        <f>IF($L$7&gt;10000000,"25%",IF($L$7&gt;999999,"34%",IF($L$7&gt;99999,"71%",IF($L$7&gt;1,"100%"))))</f>
        <v>0</v>
      </c>
      <c r="M8" s="979"/>
      <c r="O8" s="980"/>
      <c r="P8" s="981"/>
    </row>
    <row r="9" spans="1:78" ht="202.5" customHeight="1" thickBot="1" x14ac:dyDescent="0.35">
      <c r="A9" s="1267"/>
      <c r="B9" s="1268"/>
      <c r="C9" s="1268"/>
      <c r="D9" s="1269"/>
      <c r="E9" s="982" t="b">
        <f>IF($L$7&gt;10000000,"25% -- Average of similar units is 46%",IF($L$7&gt;999999,"34% -- Average of similar units is 63%",IF($L$7&gt;99999,"71% -- Average of similar units is 132%",IF($L$7&gt;1,"100 %-- Average of similar units is 260%"))))</f>
        <v>0</v>
      </c>
      <c r="F9" s="983" t="str">
        <f>'PI series #'!D6</f>
        <v/>
      </c>
      <c r="G9" s="984"/>
      <c r="H9" s="1060" t="s">
        <v>1647</v>
      </c>
      <c r="I9" s="1073" t="s">
        <v>1536</v>
      </c>
      <c r="J9" s="1076"/>
      <c r="K9" s="965"/>
      <c r="L9" s="1088" t="e">
        <f>+'PI series #'!L6</f>
        <v>#VALUE!</v>
      </c>
      <c r="M9" s="979"/>
      <c r="O9" s="980"/>
      <c r="P9" s="981"/>
    </row>
    <row r="10" spans="1:78" ht="202.5" hidden="1" customHeight="1" thickBot="1" x14ac:dyDescent="0.35">
      <c r="A10" s="1267"/>
      <c r="B10" s="1268"/>
      <c r="C10" s="1268"/>
      <c r="D10" s="1269"/>
      <c r="E10" s="982" t="str">
        <f>IF($K$5&gt;99999999,"16%--Median of simiar units is 32%","20%--Median of similar units is 39%")</f>
        <v>20%--Median of similar units is 39%</v>
      </c>
      <c r="F10" s="983"/>
      <c r="G10" s="984"/>
      <c r="H10" s="1060" t="s">
        <v>1680</v>
      </c>
      <c r="I10" s="1073" t="s">
        <v>1536</v>
      </c>
      <c r="J10" s="1076"/>
      <c r="K10" s="1089">
        <f>IF($K$5&gt;99999999,16%,20%)</f>
        <v>0.2</v>
      </c>
      <c r="L10" s="1088" t="e">
        <f>+'PI series #'!L8</f>
        <v>#VALUE!</v>
      </c>
      <c r="M10" s="979"/>
      <c r="O10" s="980"/>
      <c r="P10" s="981"/>
    </row>
    <row r="11" spans="1:78" ht="202.5" hidden="1" customHeight="1" thickBot="1" x14ac:dyDescent="0.35">
      <c r="A11" s="1267"/>
      <c r="B11" s="1268"/>
      <c r="C11" s="1268"/>
      <c r="D11" s="1269"/>
      <c r="E11" s="1090">
        <v>0.08</v>
      </c>
      <c r="F11" s="983"/>
      <c r="G11" s="984"/>
      <c r="H11" s="1060" t="s">
        <v>1579</v>
      </c>
      <c r="I11" s="1073" t="s">
        <v>1536</v>
      </c>
      <c r="J11" s="1076"/>
      <c r="K11" s="965"/>
      <c r="L11" s="1087" t="str">
        <f>++'PI series #'!D9</f>
        <v/>
      </c>
      <c r="M11" s="979"/>
      <c r="O11" s="980"/>
      <c r="P11" s="981"/>
    </row>
    <row r="12" spans="1:78" ht="152.25" hidden="1" customHeight="1" thickBot="1" x14ac:dyDescent="0.35">
      <c r="A12" s="936" t="s">
        <v>1078</v>
      </c>
      <c r="B12" s="1092"/>
      <c r="C12" s="1092"/>
      <c r="D12" s="1093">
        <f>+Import!L65</f>
        <v>0</v>
      </c>
      <c r="E12" s="1094"/>
      <c r="F12" s="1093">
        <f>+D12</f>
        <v>0</v>
      </c>
      <c r="G12" s="1095"/>
      <c r="H12" s="1095" t="s">
        <v>1304</v>
      </c>
      <c r="I12" s="1098" t="s">
        <v>1079</v>
      </c>
      <c r="J12" s="1099"/>
      <c r="K12" s="966"/>
      <c r="L12" s="967"/>
      <c r="M12" s="967"/>
      <c r="N12" s="967"/>
      <c r="O12" s="967"/>
      <c r="P12" s="967"/>
      <c r="Y12" s="270"/>
      <c r="Z12" s="173" t="s">
        <v>1538</v>
      </c>
    </row>
    <row r="13" spans="1:78" ht="51.75" customHeight="1" thickBot="1" x14ac:dyDescent="0.35">
      <c r="A13" s="986" t="s">
        <v>1681</v>
      </c>
      <c r="B13" s="987"/>
      <c r="C13" s="987"/>
      <c r="D13" s="987"/>
      <c r="E13" s="976" t="s">
        <v>1335</v>
      </c>
      <c r="F13" s="976" t="s">
        <v>1646</v>
      </c>
      <c r="G13" s="988"/>
      <c r="H13" s="1096" t="s">
        <v>1648</v>
      </c>
      <c r="I13" s="1058"/>
      <c r="J13" s="1058"/>
      <c r="K13" s="965"/>
      <c r="L13" s="990" t="e">
        <f>HLOOKUP($B$5,'2019 Data(H)'!$E$2:$BS$305,244,FALSE)</f>
        <v>#N/A</v>
      </c>
      <c r="M13" s="990" t="e">
        <f>HLOOKUP(B5,'2020 Data(H)'!E2:CR350,244,FALSE)</f>
        <v>#N/A</v>
      </c>
      <c r="N13" s="990" t="e">
        <f>Import!L268</f>
        <v>#N/A</v>
      </c>
      <c r="O13" s="991"/>
      <c r="P13" s="992"/>
      <c r="Q13" s="993"/>
      <c r="R13" s="993"/>
      <c r="S13" s="993"/>
      <c r="T13" s="993"/>
      <c r="U13" s="993"/>
      <c r="V13" s="993"/>
      <c r="W13" s="993"/>
      <c r="X13" s="993"/>
      <c r="Y13" s="993"/>
      <c r="Z13" s="993"/>
      <c r="AA13" s="993"/>
      <c r="AB13" s="993"/>
      <c r="AC13" s="993"/>
      <c r="AD13" s="993"/>
      <c r="AE13" s="993"/>
      <c r="AF13" s="993"/>
      <c r="AG13" s="993"/>
      <c r="AH13" s="993"/>
      <c r="AI13" s="993"/>
      <c r="AJ13" s="993"/>
      <c r="AK13" s="993"/>
      <c r="AL13" s="993"/>
      <c r="AM13" s="993"/>
      <c r="AN13" s="993"/>
      <c r="AO13" s="993"/>
      <c r="AP13" s="993"/>
      <c r="AQ13" s="993"/>
      <c r="AR13" s="993"/>
      <c r="AS13" s="993"/>
      <c r="AT13" s="993"/>
      <c r="AU13" s="993"/>
      <c r="AV13" s="993"/>
      <c r="AW13" s="993"/>
      <c r="AX13" s="993"/>
      <c r="AY13" s="993"/>
      <c r="AZ13" s="993"/>
      <c r="BA13" s="993"/>
      <c r="BB13" s="993"/>
      <c r="BC13" s="993"/>
      <c r="BD13" s="993"/>
      <c r="BE13" s="993"/>
      <c r="BF13" s="993"/>
      <c r="BG13" s="993"/>
      <c r="BH13" s="993"/>
      <c r="BI13" s="993"/>
      <c r="BJ13" s="993"/>
      <c r="BK13" s="993"/>
      <c r="BL13" s="993"/>
      <c r="BM13" s="993"/>
      <c r="BN13" s="993"/>
      <c r="BO13" s="993"/>
      <c r="BP13" s="993"/>
      <c r="BQ13" s="993"/>
      <c r="BR13" s="993"/>
      <c r="BS13" s="993"/>
      <c r="BT13" s="993"/>
      <c r="BU13" s="993"/>
      <c r="BV13" s="993"/>
      <c r="BW13" s="993"/>
      <c r="BX13" s="993"/>
      <c r="BY13" s="993"/>
      <c r="BZ13" s="993"/>
    </row>
    <row r="14" spans="1:78" ht="202.5" customHeight="1" thickBot="1" x14ac:dyDescent="0.35">
      <c r="A14" s="994"/>
      <c r="B14" s="995"/>
      <c r="C14" s="995"/>
      <c r="D14" s="996"/>
      <c r="E14" s="997" t="s">
        <v>1047</v>
      </c>
      <c r="F14" s="998" t="str">
        <f>'PI series #'!F12</f>
        <v/>
      </c>
      <c r="G14" s="999"/>
      <c r="H14" s="1060" t="s">
        <v>1649</v>
      </c>
      <c r="I14" s="1074" t="s">
        <v>1052</v>
      </c>
      <c r="J14" s="1076"/>
      <c r="K14" s="965"/>
      <c r="L14" s="990" t="e">
        <f>HLOOKUP($B$5,'2019 Data(H)'!$E$2:$BS$305,299,FALSE)</f>
        <v>#N/A</v>
      </c>
      <c r="M14" s="990" t="e">
        <f>HLOOKUP(B4,'2020 Data(H)'!E1:BT393,347,FALSE)</f>
        <v>#N/A</v>
      </c>
      <c r="N14" s="990" t="e">
        <f>+(Import!$L$120-Import!$L$121-Import!$L$118-Import!$L$119)/(Import!$L$124-Import!$L$125-Import!$L$126-Import!$L$127-Import!$L$128-Import!$L$129-Import!$L$123)</f>
        <v>#DIV/0!</v>
      </c>
    </row>
    <row r="15" spans="1:78" ht="27.75" customHeight="1" thickBot="1" x14ac:dyDescent="0.35">
      <c r="A15" s="1000"/>
      <c r="B15" s="1001" t="s">
        <v>1650</v>
      </c>
      <c r="C15" s="1001" t="s">
        <v>1651</v>
      </c>
      <c r="D15" s="1001" t="s">
        <v>1652</v>
      </c>
      <c r="E15" s="976" t="s">
        <v>1335</v>
      </c>
      <c r="F15" s="976" t="s">
        <v>1646</v>
      </c>
      <c r="G15" s="1002"/>
      <c r="H15" s="989"/>
      <c r="I15" s="1058"/>
      <c r="J15" s="1058"/>
      <c r="K15" s="965"/>
      <c r="L15" s="990"/>
      <c r="M15" s="990"/>
      <c r="N15" s="990"/>
    </row>
    <row r="16" spans="1:78" ht="69.599999999999994" customHeight="1" thickBot="1" x14ac:dyDescent="0.35">
      <c r="A16" s="1003" t="s">
        <v>1089</v>
      </c>
      <c r="B16" s="1004" t="e">
        <f>IF(L13=0,"Not Applicable",L16)</f>
        <v>#N/A</v>
      </c>
      <c r="C16" s="1004" t="e">
        <f>IF(M13=0,"Not Applicable",M16)</f>
        <v>#N/A</v>
      </c>
      <c r="D16" s="1004" t="e">
        <f>IF(N13=0,"Not Applicable",N16)</f>
        <v>#N/A</v>
      </c>
      <c r="E16" s="1005" t="s">
        <v>1653</v>
      </c>
      <c r="F16" s="1004" t="e">
        <f>D16</f>
        <v>#N/A</v>
      </c>
      <c r="G16" s="1006" t="s">
        <v>1092</v>
      </c>
      <c r="H16" s="1060" t="s">
        <v>1654</v>
      </c>
      <c r="I16" s="1074" t="s">
        <v>1685</v>
      </c>
      <c r="J16" s="1077"/>
      <c r="K16" s="965"/>
      <c r="L16" s="1008" t="e">
        <f>HLOOKUP(B5,'2019 Data(H)'!E2:BS305,300,FALSE)</f>
        <v>#N/A</v>
      </c>
      <c r="M16" s="1008" t="e">
        <f>HLOOKUP(B4,'2020 Data(H)'!F1:BU393,348,FALSE)</f>
        <v>#N/A</v>
      </c>
      <c r="N16" s="974">
        <f>+Import!$L$153-Import!$L$155+Import!$L$154-Import!$L$182</f>
        <v>0</v>
      </c>
    </row>
    <row r="17" spans="1:81" ht="109.95" customHeight="1" thickBot="1" x14ac:dyDescent="0.35">
      <c r="A17" s="1003" t="s">
        <v>1116</v>
      </c>
      <c r="B17" s="1009" t="e">
        <f>IF(L13=0,"Not Applicable",L17)</f>
        <v>#N/A</v>
      </c>
      <c r="C17" s="1009" t="e">
        <f t="shared" ref="C17:D17" si="0">IF(M13=0,"Not Applicable",M17)</f>
        <v>#N/A</v>
      </c>
      <c r="D17" s="1009" t="e">
        <f t="shared" si="0"/>
        <v>#N/A</v>
      </c>
      <c r="E17" s="1005" t="s">
        <v>1571</v>
      </c>
      <c r="F17" s="1010" t="e">
        <f>D17</f>
        <v>#N/A</v>
      </c>
      <c r="G17" s="1006" t="s">
        <v>1093</v>
      </c>
      <c r="H17" s="1060" t="s">
        <v>1655</v>
      </c>
      <c r="I17" s="1074" t="s">
        <v>1093</v>
      </c>
      <c r="J17" s="1076"/>
      <c r="K17" s="965"/>
      <c r="L17" s="1011" t="e">
        <f>HLOOKUP(B5,'2019 Data(H)'!E2:BS305,301,FALSE)</f>
        <v>#N/A</v>
      </c>
      <c r="M17" s="1011" t="e">
        <f>HLOOKUP(B4,'2020 Data(H)'!F1:BU393,349,FALSE)</f>
        <v>#N/A</v>
      </c>
      <c r="N17" s="1011" t="e">
        <f>+Import!L116/(Import!L155+Import!L158-Import!L154+Import!L182)</f>
        <v>#DIV/0!</v>
      </c>
      <c r="O17" s="963"/>
    </row>
    <row r="18" spans="1:81" ht="75" customHeight="1" thickBot="1" x14ac:dyDescent="0.4">
      <c r="A18" s="1270" t="s">
        <v>1572</v>
      </c>
      <c r="B18" s="1271"/>
      <c r="C18" s="1272"/>
      <c r="D18" s="1012" t="str">
        <f>IF(M18&lt;0,"Yes","No")</f>
        <v>No</v>
      </c>
      <c r="E18" s="1013"/>
      <c r="F18" s="1141"/>
      <c r="G18" s="1007" t="s">
        <v>1656</v>
      </c>
      <c r="H18" s="1060" t="s">
        <v>1657</v>
      </c>
      <c r="I18" s="1075" t="s">
        <v>1573</v>
      </c>
      <c r="J18" s="1077"/>
      <c r="K18" s="965"/>
      <c r="L18" s="1014"/>
      <c r="M18" s="1014">
        <f>((Import!L158+Import!L155)*0.03)-Import!L161</f>
        <v>0</v>
      </c>
      <c r="N18" s="270">
        <f>L18*0.03</f>
        <v>0</v>
      </c>
    </row>
    <row r="19" spans="1:81" ht="15" thickBot="1" x14ac:dyDescent="0.35">
      <c r="A19" s="1015"/>
      <c r="B19" s="1016"/>
      <c r="C19" s="1016"/>
      <c r="D19" s="1016"/>
      <c r="E19" s="1017"/>
      <c r="F19" s="1016"/>
      <c r="G19" s="1018"/>
      <c r="H19" s="1016"/>
      <c r="I19" s="1055"/>
      <c r="J19" s="1055"/>
    </row>
    <row r="20" spans="1:81" ht="27.75" customHeight="1" thickBot="1" x14ac:dyDescent="0.35">
      <c r="A20" s="1273" t="s">
        <v>1658</v>
      </c>
      <c r="B20" s="1274"/>
      <c r="C20" s="1274"/>
      <c r="D20" s="1274"/>
      <c r="E20" s="976" t="s">
        <v>1335</v>
      </c>
      <c r="F20" s="976" t="s">
        <v>1646</v>
      </c>
      <c r="G20" s="1019" t="s">
        <v>1115</v>
      </c>
      <c r="H20" s="1020"/>
      <c r="I20" s="1059"/>
      <c r="J20" s="1059"/>
      <c r="K20" s="965"/>
      <c r="L20" s="990" t="e">
        <f>HLOOKUP(B5,'2019 Data(H)'!E2:BS310,243,FALSE)</f>
        <v>#N/A</v>
      </c>
      <c r="M20" s="1021" t="e">
        <f>HLOOKUP(B5,'2020 Data(H)'!E2:CR350,243,FALSE)</f>
        <v>#N/A</v>
      </c>
      <c r="N20" s="1022" t="e">
        <f>+Import!L267</f>
        <v>#N/A</v>
      </c>
    </row>
    <row r="21" spans="1:81" ht="202.5" customHeight="1" thickBot="1" x14ac:dyDescent="0.35">
      <c r="A21" s="1275"/>
      <c r="B21" s="1276"/>
      <c r="C21" s="1276"/>
      <c r="D21" s="1277"/>
      <c r="E21" s="1005" t="s">
        <v>1047</v>
      </c>
      <c r="F21" s="1054" t="str">
        <f>'PI series #'!F18</f>
        <v/>
      </c>
      <c r="G21" s="1007"/>
      <c r="H21" s="1071" t="s">
        <v>1659</v>
      </c>
      <c r="I21" s="1061" t="s">
        <v>1100</v>
      </c>
      <c r="J21" s="1078"/>
      <c r="K21" s="965"/>
      <c r="L21" s="1021" t="e">
        <f>HLOOKUP(B5,'2019 Data(H)'!E2:BS310,302,FALSE)</f>
        <v>#N/A</v>
      </c>
      <c r="M21" s="990" t="e">
        <f>HLOOKUP(B4,'2020 Data(H)'!F1:BU393,350,FALSE)</f>
        <v>#N/A</v>
      </c>
      <c r="N21" s="990" t="e">
        <f>+(Import!L138-Import!L139-Import!L137-Import!L136)/(Import!L143-Import!L144-Import!L145-Import!L146-Import!L147-Import!L148-Import!L142)</f>
        <v>#DIV/0!</v>
      </c>
    </row>
    <row r="22" spans="1:81" ht="27.75" customHeight="1" thickBot="1" x14ac:dyDescent="0.35">
      <c r="A22" s="1024"/>
      <c r="B22" s="1025" t="s">
        <v>1650</v>
      </c>
      <c r="C22" s="1025" t="s">
        <v>1651</v>
      </c>
      <c r="D22" s="1025" t="s">
        <v>1652</v>
      </c>
      <c r="E22" s="976" t="s">
        <v>1335</v>
      </c>
      <c r="F22" s="976" t="s">
        <v>1646</v>
      </c>
      <c r="G22" s="1007"/>
      <c r="H22" s="985"/>
      <c r="I22" s="1061"/>
      <c r="J22" s="985"/>
      <c r="K22" s="965"/>
      <c r="L22" s="1021"/>
      <c r="M22" s="990"/>
      <c r="N22" s="990"/>
    </row>
    <row r="23" spans="1:81" ht="71.25" customHeight="1" thickBot="1" x14ac:dyDescent="0.35">
      <c r="A23" s="1003" t="s">
        <v>1089</v>
      </c>
      <c r="B23" s="1026" t="e">
        <f>IF(L20=0,"N/A",L23)</f>
        <v>#N/A</v>
      </c>
      <c r="C23" s="1026" t="e">
        <f>IF(M20=0,"N/A",M23)</f>
        <v>#N/A</v>
      </c>
      <c r="D23" s="1026" t="e">
        <f>IF(N20=0,"N/A",N23)</f>
        <v>#N/A</v>
      </c>
      <c r="E23" s="1005" t="s">
        <v>1340</v>
      </c>
      <c r="F23" s="1034" t="e">
        <f>D23</f>
        <v>#N/A</v>
      </c>
      <c r="G23" s="1007"/>
      <c r="H23" s="1071" t="s">
        <v>1660</v>
      </c>
      <c r="I23" s="1079" t="s">
        <v>1686</v>
      </c>
      <c r="J23" s="1077"/>
      <c r="K23" s="965"/>
      <c r="L23" s="1008" t="e">
        <f>HLOOKUP(B5,'2019 Data(H)'!E2:BS310,303,FALSE)</f>
        <v>#N/A</v>
      </c>
      <c r="M23" s="1008" t="e">
        <f>HLOOKUP(B4,'2020 Data(H)'!F1:BU393,351,FALSE)</f>
        <v>#N/A</v>
      </c>
      <c r="N23" s="1008">
        <f>+Import!L168-Import!L171+Import!L170-Import!L185</f>
        <v>0</v>
      </c>
    </row>
    <row r="24" spans="1:81" s="270" customFormat="1" ht="102.75" customHeight="1" thickBot="1" x14ac:dyDescent="0.35">
      <c r="A24" s="1003" t="s">
        <v>1116</v>
      </c>
      <c r="B24" s="1009" t="e">
        <f>IF(L20=0,"N/A",L24)</f>
        <v>#N/A</v>
      </c>
      <c r="C24" s="1009" t="e">
        <f>IF(M20=0,"N/A",M24)</f>
        <v>#N/A</v>
      </c>
      <c r="D24" s="1009" t="e">
        <f>IF(N20=0,"N/A",N24)</f>
        <v>#N/A</v>
      </c>
      <c r="E24" s="1005" t="s">
        <v>1571</v>
      </c>
      <c r="F24" s="1010" t="e">
        <f>D24</f>
        <v>#N/A</v>
      </c>
      <c r="G24" s="1007"/>
      <c r="H24" s="1060" t="s">
        <v>1655</v>
      </c>
      <c r="I24" s="1079" t="s">
        <v>1105</v>
      </c>
      <c r="J24" s="1076"/>
      <c r="K24" s="965"/>
      <c r="L24" s="1011" t="e">
        <f>HLOOKUP(B5,'2019 Data(H)'!E2:BS310,304,FALSE)</f>
        <v>#N/A</v>
      </c>
      <c r="M24" s="1011" t="e">
        <f>HLOOKUP(B4,'2020 Data(H)'!F1:BU393,352,FALSE)</f>
        <v>#N/A</v>
      </c>
      <c r="N24" s="1011" t="e">
        <f>+Import!L134/(Import!L174+Import!L171-Import!L170+Import!L185)</f>
        <v>#DIV/0!</v>
      </c>
      <c r="P24" s="966"/>
      <c r="Q24" s="967"/>
      <c r="R24" s="967"/>
      <c r="S24" s="967"/>
      <c r="T24" s="967"/>
      <c r="U24" s="967"/>
      <c r="V24" s="967"/>
      <c r="W24" s="967"/>
      <c r="X24" s="967"/>
      <c r="Y24" s="967"/>
      <c r="Z24" s="967"/>
      <c r="AA24" s="967"/>
      <c r="AB24" s="967"/>
      <c r="AC24" s="967"/>
      <c r="AD24" s="967"/>
      <c r="AE24" s="967"/>
      <c r="AF24" s="967"/>
      <c r="AG24" s="967"/>
      <c r="AH24" s="967"/>
      <c r="AI24" s="967"/>
      <c r="AJ24" s="967"/>
      <c r="AK24" s="967"/>
      <c r="AL24" s="967"/>
      <c r="AM24" s="967"/>
      <c r="AN24" s="967"/>
      <c r="AO24" s="967"/>
      <c r="AP24" s="967"/>
      <c r="AQ24" s="967"/>
      <c r="AR24" s="967"/>
      <c r="AS24" s="967"/>
      <c r="AT24" s="967"/>
      <c r="AU24" s="967"/>
      <c r="AV24" s="967"/>
      <c r="AW24" s="967"/>
      <c r="AX24" s="967"/>
      <c r="AY24" s="967"/>
      <c r="AZ24" s="967"/>
      <c r="BA24" s="967"/>
      <c r="BB24" s="967"/>
      <c r="BC24" s="967"/>
      <c r="BD24" s="967"/>
      <c r="BE24" s="967"/>
      <c r="BF24" s="967"/>
      <c r="BG24" s="967"/>
      <c r="BH24" s="967"/>
      <c r="BI24" s="967"/>
      <c r="BJ24" s="967"/>
      <c r="BK24" s="967"/>
      <c r="BL24" s="967"/>
      <c r="BM24" s="967"/>
      <c r="BN24" s="967"/>
      <c r="BO24" s="967"/>
      <c r="BP24" s="967"/>
      <c r="BQ24" s="967"/>
      <c r="BR24" s="967"/>
      <c r="BS24" s="967"/>
      <c r="BT24" s="967"/>
      <c r="BU24" s="967"/>
      <c r="BV24" s="967"/>
      <c r="BW24" s="967"/>
      <c r="BX24" s="967"/>
      <c r="BY24" s="967"/>
      <c r="BZ24" s="967"/>
      <c r="CA24" s="967"/>
      <c r="CB24" s="967"/>
      <c r="CC24" s="967"/>
    </row>
    <row r="25" spans="1:81" s="270" customFormat="1" ht="25.5" hidden="1" customHeight="1" thickBot="1" x14ac:dyDescent="0.35">
      <c r="A25" s="1062" t="s">
        <v>1338</v>
      </c>
      <c r="B25" s="1065"/>
      <c r="C25" s="1065"/>
      <c r="D25" s="1065"/>
      <c r="E25" s="1066"/>
      <c r="F25" s="1067"/>
      <c r="G25" s="1063"/>
      <c r="H25" s="1064"/>
      <c r="I25" s="1100"/>
      <c r="J25" s="1101"/>
      <c r="K25" s="965"/>
      <c r="L25" s="1011"/>
      <c r="M25" s="1011"/>
      <c r="N25" s="1011"/>
      <c r="P25" s="966"/>
      <c r="Q25" s="967"/>
      <c r="R25" s="967"/>
      <c r="S25" s="967"/>
      <c r="T25" s="967"/>
      <c r="U25" s="967"/>
      <c r="V25" s="967"/>
      <c r="W25" s="967"/>
      <c r="X25" s="967"/>
      <c r="Y25" s="967"/>
      <c r="Z25" s="967"/>
      <c r="AA25" s="967"/>
      <c r="AB25" s="967"/>
      <c r="AC25" s="967"/>
      <c r="AD25" s="967"/>
      <c r="AE25" s="967"/>
      <c r="AF25" s="967"/>
      <c r="AG25" s="967"/>
      <c r="AH25" s="967"/>
      <c r="AI25" s="967"/>
      <c r="AJ25" s="967"/>
      <c r="AK25" s="967"/>
      <c r="AL25" s="967"/>
      <c r="AM25" s="967"/>
      <c r="AN25" s="967"/>
      <c r="AO25" s="967"/>
      <c r="AP25" s="967"/>
      <c r="AQ25" s="967"/>
      <c r="AR25" s="967"/>
      <c r="AS25" s="967"/>
      <c r="AT25" s="967"/>
      <c r="AU25" s="967"/>
      <c r="AV25" s="967"/>
      <c r="AW25" s="967"/>
      <c r="AX25" s="967"/>
      <c r="AY25" s="967"/>
      <c r="AZ25" s="967"/>
      <c r="BA25" s="967"/>
      <c r="BB25" s="967"/>
      <c r="BC25" s="967"/>
      <c r="BD25" s="967"/>
      <c r="BE25" s="967"/>
      <c r="BF25" s="967"/>
      <c r="BG25" s="967"/>
      <c r="BH25" s="967"/>
      <c r="BI25" s="967"/>
      <c r="BJ25" s="967"/>
      <c r="BK25" s="967"/>
      <c r="BL25" s="967"/>
      <c r="BM25" s="967"/>
      <c r="BN25" s="967"/>
      <c r="BO25" s="967"/>
      <c r="BP25" s="967"/>
      <c r="BQ25" s="967"/>
      <c r="BR25" s="967"/>
      <c r="BS25" s="967"/>
      <c r="BT25" s="967"/>
      <c r="BU25" s="967"/>
      <c r="BV25" s="967"/>
      <c r="BW25" s="967"/>
      <c r="BX25" s="967"/>
      <c r="BY25" s="967"/>
      <c r="BZ25" s="967"/>
      <c r="CA25" s="967"/>
      <c r="CB25" s="967"/>
      <c r="CC25" s="967"/>
    </row>
    <row r="26" spans="1:81" s="270" customFormat="1" ht="88.5" hidden="1" customHeight="1" thickBot="1" x14ac:dyDescent="0.35">
      <c r="A26" s="1062" t="s">
        <v>722</v>
      </c>
      <c r="B26" s="1065"/>
      <c r="C26" s="1065"/>
      <c r="D26" s="1102" t="str">
        <f>+N26</f>
        <v/>
      </c>
      <c r="E26" s="1005" t="s">
        <v>1047</v>
      </c>
      <c r="F26" s="1103" t="str">
        <f>+N26</f>
        <v/>
      </c>
      <c r="G26" s="1063"/>
      <c r="H26" s="1071" t="s">
        <v>1659</v>
      </c>
      <c r="I26" s="1061" t="s">
        <v>1580</v>
      </c>
      <c r="J26" s="1076"/>
      <c r="K26" s="965"/>
      <c r="L26" s="1011"/>
      <c r="M26" s="1011"/>
      <c r="N26" s="1091" t="str">
        <f>IFERROR((+Import!L94-Import!L93)/Import!L95,"")</f>
        <v/>
      </c>
      <c r="P26" s="966"/>
      <c r="Q26" s="967"/>
      <c r="R26" s="967"/>
      <c r="S26" s="967"/>
      <c r="T26" s="967"/>
      <c r="U26" s="967"/>
      <c r="V26" s="967"/>
      <c r="W26" s="967"/>
      <c r="X26" s="967"/>
      <c r="Y26" s="967"/>
      <c r="Z26" s="967"/>
      <c r="AA26" s="967"/>
      <c r="AB26" s="967"/>
      <c r="AC26" s="967"/>
      <c r="AD26" s="967"/>
      <c r="AE26" s="967"/>
      <c r="AF26" s="967"/>
      <c r="AG26" s="967"/>
      <c r="AH26" s="967"/>
      <c r="AI26" s="967"/>
      <c r="AJ26" s="967"/>
      <c r="AK26" s="967"/>
      <c r="AL26" s="967"/>
      <c r="AM26" s="967"/>
      <c r="AN26" s="967"/>
      <c r="AO26" s="967"/>
      <c r="AP26" s="967"/>
      <c r="AQ26" s="967"/>
      <c r="AR26" s="967"/>
      <c r="AS26" s="967"/>
      <c r="AT26" s="967"/>
      <c r="AU26" s="967"/>
      <c r="AV26" s="967"/>
      <c r="AW26" s="967"/>
      <c r="AX26" s="967"/>
      <c r="AY26" s="967"/>
      <c r="AZ26" s="967"/>
      <c r="BA26" s="967"/>
      <c r="BB26" s="967"/>
      <c r="BC26" s="967"/>
      <c r="BD26" s="967"/>
      <c r="BE26" s="967"/>
      <c r="BF26" s="967"/>
      <c r="BG26" s="967"/>
      <c r="BH26" s="967"/>
      <c r="BI26" s="967"/>
      <c r="BJ26" s="967"/>
      <c r="BK26" s="967"/>
      <c r="BL26" s="967"/>
      <c r="BM26" s="967"/>
      <c r="BN26" s="967"/>
      <c r="BO26" s="967"/>
      <c r="BP26" s="967"/>
      <c r="BQ26" s="967"/>
      <c r="BR26" s="967"/>
      <c r="BS26" s="967"/>
      <c r="BT26" s="967"/>
      <c r="BU26" s="967"/>
      <c r="BV26" s="967"/>
      <c r="BW26" s="967"/>
      <c r="BX26" s="967"/>
      <c r="BY26" s="967"/>
      <c r="BZ26" s="967"/>
      <c r="CA26" s="967"/>
      <c r="CB26" s="967"/>
      <c r="CC26" s="967"/>
    </row>
    <row r="27" spans="1:81" s="270" customFormat="1" ht="18.600000000000001" thickBot="1" x14ac:dyDescent="0.35">
      <c r="A27" s="1027"/>
      <c r="B27" s="1028"/>
      <c r="C27" s="1028"/>
      <c r="D27" s="1028"/>
      <c r="E27" s="1029"/>
      <c r="F27" s="1028"/>
      <c r="G27" s="1030"/>
      <c r="H27" s="1028"/>
      <c r="I27" s="1080"/>
      <c r="J27" s="1055"/>
      <c r="K27" s="968"/>
      <c r="N27" s="980"/>
      <c r="P27" s="966"/>
      <c r="Q27" s="967"/>
      <c r="R27" s="967"/>
      <c r="S27" s="967"/>
      <c r="T27" s="967"/>
      <c r="U27" s="967"/>
      <c r="V27" s="967"/>
      <c r="W27" s="967"/>
      <c r="X27" s="967"/>
      <c r="Y27" s="967"/>
      <c r="Z27" s="967"/>
      <c r="AA27" s="967"/>
      <c r="AB27" s="967"/>
      <c r="AC27" s="967"/>
      <c r="AD27" s="967"/>
      <c r="AE27" s="967"/>
      <c r="AF27" s="967"/>
      <c r="AG27" s="967"/>
      <c r="AH27" s="967"/>
      <c r="AI27" s="967"/>
      <c r="AJ27" s="967"/>
      <c r="AK27" s="967"/>
      <c r="AL27" s="967"/>
      <c r="AM27" s="967"/>
      <c r="AN27" s="967"/>
      <c r="AO27" s="967"/>
      <c r="AP27" s="967"/>
      <c r="AQ27" s="967"/>
      <c r="AR27" s="967"/>
      <c r="AS27" s="967"/>
      <c r="AT27" s="967"/>
      <c r="AU27" s="967"/>
      <c r="AV27" s="967"/>
      <c r="AW27" s="967"/>
      <c r="AX27" s="967"/>
      <c r="AY27" s="967"/>
      <c r="AZ27" s="967"/>
      <c r="BA27" s="967"/>
      <c r="BB27" s="967"/>
      <c r="BC27" s="967"/>
      <c r="BD27" s="967"/>
      <c r="BE27" s="967"/>
      <c r="BF27" s="967"/>
      <c r="BG27" s="967"/>
      <c r="BH27" s="967"/>
      <c r="BI27" s="967"/>
      <c r="BJ27" s="967"/>
      <c r="BK27" s="967"/>
      <c r="BL27" s="967"/>
      <c r="BM27" s="967"/>
      <c r="BN27" s="967"/>
      <c r="BO27" s="967"/>
      <c r="BP27" s="967"/>
      <c r="BQ27" s="967"/>
      <c r="BR27" s="967"/>
      <c r="BS27" s="967"/>
      <c r="BT27" s="967"/>
      <c r="BU27" s="967"/>
      <c r="BV27" s="967"/>
      <c r="BW27" s="967"/>
      <c r="BX27" s="967"/>
      <c r="BY27" s="967"/>
      <c r="BZ27" s="967"/>
      <c r="CA27" s="967"/>
      <c r="CB27" s="967"/>
      <c r="CC27" s="967"/>
    </row>
    <row r="28" spans="1:81" s="270" customFormat="1" ht="18.600000000000001" thickBot="1" x14ac:dyDescent="0.35">
      <c r="A28" s="1273" t="s">
        <v>1661</v>
      </c>
      <c r="B28" s="1274"/>
      <c r="C28" s="1278"/>
      <c r="D28" s="283" t="s">
        <v>1652</v>
      </c>
      <c r="E28" s="284" t="s">
        <v>1662</v>
      </c>
      <c r="F28" s="1031"/>
      <c r="G28" s="1032"/>
      <c r="H28" s="1033"/>
      <c r="I28" s="1082"/>
      <c r="J28" s="1033"/>
      <c r="K28" s="965"/>
      <c r="P28" s="966"/>
      <c r="Q28" s="967"/>
      <c r="R28" s="967"/>
      <c r="S28" s="967"/>
      <c r="T28" s="967"/>
      <c r="U28" s="967"/>
      <c r="V28" s="967"/>
      <c r="W28" s="967"/>
      <c r="X28" s="967"/>
      <c r="Y28" s="967"/>
      <c r="Z28" s="967"/>
      <c r="AA28" s="967"/>
      <c r="AB28" s="967"/>
      <c r="AC28" s="967"/>
      <c r="AD28" s="967"/>
      <c r="AE28" s="967"/>
      <c r="AF28" s="967"/>
      <c r="AG28" s="967"/>
      <c r="AH28" s="967"/>
      <c r="AI28" s="967"/>
      <c r="AJ28" s="967"/>
      <c r="AK28" s="967"/>
      <c r="AL28" s="967"/>
      <c r="AM28" s="967"/>
      <c r="AN28" s="967"/>
      <c r="AO28" s="967"/>
      <c r="AP28" s="967"/>
      <c r="AQ28" s="967"/>
      <c r="AR28" s="967"/>
      <c r="AS28" s="967"/>
      <c r="AT28" s="967"/>
      <c r="AU28" s="967"/>
      <c r="AV28" s="967"/>
      <c r="AW28" s="967"/>
      <c r="AX28" s="967"/>
      <c r="AY28" s="967"/>
      <c r="AZ28" s="967"/>
      <c r="BA28" s="967"/>
      <c r="BB28" s="967"/>
      <c r="BC28" s="967"/>
      <c r="BD28" s="967"/>
      <c r="BE28" s="967"/>
      <c r="BF28" s="967"/>
      <c r="BG28" s="967"/>
      <c r="BH28" s="967"/>
      <c r="BI28" s="967"/>
      <c r="BJ28" s="967"/>
      <c r="BK28" s="967"/>
      <c r="BL28" s="967"/>
      <c r="BM28" s="967"/>
      <c r="BN28" s="967"/>
      <c r="BO28" s="967"/>
      <c r="BP28" s="967"/>
      <c r="BQ28" s="967"/>
      <c r="BR28" s="967"/>
      <c r="BS28" s="967"/>
      <c r="BT28" s="967"/>
      <c r="BU28" s="967"/>
      <c r="BV28" s="967"/>
      <c r="BW28" s="967"/>
      <c r="BX28" s="967"/>
      <c r="BY28" s="967"/>
      <c r="BZ28" s="967"/>
      <c r="CA28" s="967"/>
      <c r="CB28" s="967"/>
      <c r="CC28" s="967"/>
    </row>
    <row r="29" spans="1:81" s="270" customFormat="1" ht="92.25" customHeight="1" thickBot="1" x14ac:dyDescent="0.35">
      <c r="A29" s="1279" t="s">
        <v>1683</v>
      </c>
      <c r="B29" s="1279"/>
      <c r="C29" s="1279"/>
      <c r="D29" s="1034" t="b">
        <f>IF(Import!L258=1,"Yes",IF(Import!L258=2,"No"))</f>
        <v>0</v>
      </c>
      <c r="E29" s="1005" t="s">
        <v>1684</v>
      </c>
      <c r="F29" s="1034" t="b">
        <f>D29</f>
        <v>0</v>
      </c>
      <c r="G29" s="1007"/>
      <c r="H29" s="1072" t="s">
        <v>1663</v>
      </c>
      <c r="I29" s="1079" t="s">
        <v>1067</v>
      </c>
      <c r="J29" s="1081"/>
      <c r="K29" s="965"/>
      <c r="P29" s="966"/>
      <c r="Q29" s="967"/>
      <c r="R29" s="967"/>
      <c r="S29" s="967"/>
      <c r="T29" s="967"/>
      <c r="U29" s="967"/>
      <c r="V29" s="967"/>
      <c r="W29" s="967"/>
      <c r="X29" s="967"/>
      <c r="Y29" s="967"/>
      <c r="Z29" s="967"/>
      <c r="AA29" s="967"/>
      <c r="AB29" s="967"/>
      <c r="AC29" s="967"/>
      <c r="AD29" s="967"/>
      <c r="AE29" s="967"/>
      <c r="AF29" s="967"/>
      <c r="AG29" s="967"/>
      <c r="AH29" s="967"/>
      <c r="AI29" s="967"/>
      <c r="AJ29" s="967"/>
      <c r="AK29" s="967"/>
      <c r="AL29" s="967"/>
      <c r="AM29" s="967"/>
      <c r="AN29" s="967"/>
      <c r="AO29" s="967"/>
      <c r="AP29" s="967"/>
      <c r="AQ29" s="967"/>
      <c r="AR29" s="967"/>
      <c r="AS29" s="967"/>
      <c r="AT29" s="967"/>
      <c r="AU29" s="967"/>
      <c r="AV29" s="967"/>
      <c r="AW29" s="967"/>
      <c r="AX29" s="967"/>
      <c r="AY29" s="967"/>
      <c r="AZ29" s="967"/>
      <c r="BA29" s="967"/>
      <c r="BB29" s="967"/>
      <c r="BC29" s="967"/>
      <c r="BD29" s="967"/>
      <c r="BE29" s="967"/>
      <c r="BF29" s="967"/>
      <c r="BG29" s="967"/>
      <c r="BH29" s="967"/>
      <c r="BI29" s="967"/>
      <c r="BJ29" s="967"/>
      <c r="BK29" s="967"/>
      <c r="BL29" s="967"/>
      <c r="BM29" s="967"/>
      <c r="BN29" s="967"/>
      <c r="BO29" s="967"/>
      <c r="BP29" s="967"/>
      <c r="BQ29" s="967"/>
      <c r="BR29" s="967"/>
      <c r="BS29" s="967"/>
      <c r="BT29" s="967"/>
      <c r="BU29" s="967"/>
      <c r="BV29" s="967"/>
      <c r="BW29" s="967"/>
      <c r="BX29" s="967"/>
      <c r="BY29" s="967"/>
      <c r="BZ29" s="967"/>
      <c r="CA29" s="967"/>
      <c r="CB29" s="967"/>
      <c r="CC29" s="967"/>
    </row>
    <row r="30" spans="1:81" s="270" customFormat="1" ht="18" customHeight="1" thickBot="1" x14ac:dyDescent="0.35">
      <c r="A30" s="1254"/>
      <c r="B30" s="1255"/>
      <c r="C30" s="1256"/>
      <c r="D30" s="1036" t="s">
        <v>1652</v>
      </c>
      <c r="E30" s="284" t="s">
        <v>1662</v>
      </c>
      <c r="F30" s="1037"/>
      <c r="G30" s="1007"/>
      <c r="H30" s="1037"/>
      <c r="I30" s="1083"/>
      <c r="J30" s="1086"/>
      <c r="K30" s="965"/>
      <c r="P30" s="966"/>
      <c r="Q30" s="967"/>
      <c r="R30" s="967"/>
      <c r="S30" s="967"/>
      <c r="T30" s="967"/>
      <c r="U30" s="967"/>
      <c r="V30" s="967"/>
      <c r="W30" s="967"/>
      <c r="X30" s="967"/>
      <c r="Y30" s="967"/>
      <c r="Z30" s="967"/>
      <c r="AA30" s="967"/>
      <c r="AB30" s="967"/>
      <c r="AC30" s="967"/>
      <c r="AD30" s="967"/>
      <c r="AE30" s="967"/>
      <c r="AF30" s="967"/>
      <c r="AG30" s="967"/>
      <c r="AH30" s="967"/>
      <c r="AI30" s="967"/>
      <c r="AJ30" s="967"/>
      <c r="AK30" s="967"/>
      <c r="AL30" s="967"/>
      <c r="AM30" s="967"/>
      <c r="AN30" s="967"/>
      <c r="AO30" s="967"/>
      <c r="AP30" s="967"/>
      <c r="AQ30" s="967"/>
      <c r="AR30" s="967"/>
      <c r="AS30" s="967"/>
      <c r="AT30" s="967"/>
      <c r="AU30" s="967"/>
      <c r="AV30" s="967"/>
      <c r="AW30" s="967"/>
      <c r="AX30" s="967"/>
      <c r="AY30" s="967"/>
      <c r="AZ30" s="967"/>
      <c r="BA30" s="967"/>
      <c r="BB30" s="967"/>
      <c r="BC30" s="967"/>
      <c r="BD30" s="967"/>
      <c r="BE30" s="967"/>
      <c r="BF30" s="967"/>
      <c r="BG30" s="967"/>
      <c r="BH30" s="967"/>
      <c r="BI30" s="967"/>
      <c r="BJ30" s="967"/>
      <c r="BK30" s="967"/>
      <c r="BL30" s="967"/>
      <c r="BM30" s="967"/>
      <c r="BN30" s="967"/>
      <c r="BO30" s="967"/>
      <c r="BP30" s="967"/>
      <c r="BQ30" s="967"/>
      <c r="BR30" s="967"/>
      <c r="BS30" s="967"/>
      <c r="BT30" s="967"/>
      <c r="BU30" s="967"/>
      <c r="BV30" s="967"/>
      <c r="BW30" s="967"/>
      <c r="BX30" s="967"/>
      <c r="BY30" s="967"/>
      <c r="BZ30" s="967"/>
      <c r="CA30" s="967"/>
      <c r="CB30" s="967"/>
      <c r="CC30" s="967"/>
    </row>
    <row r="31" spans="1:81" s="270" customFormat="1" ht="69.75" customHeight="1" thickBot="1" x14ac:dyDescent="0.35">
      <c r="A31" s="1279" t="s">
        <v>1254</v>
      </c>
      <c r="B31" s="1279"/>
      <c r="C31" s="1279"/>
      <c r="D31" s="1038" t="str">
        <f>IFERROR((Import!L67-Import!L68)/Import!L68,"")</f>
        <v/>
      </c>
      <c r="E31" s="1005" t="s">
        <v>1049</v>
      </c>
      <c r="F31" s="1039" t="str">
        <f>+D31</f>
        <v/>
      </c>
      <c r="G31" s="1007"/>
      <c r="H31" s="1060" t="s">
        <v>1664</v>
      </c>
      <c r="I31" s="1079" t="s">
        <v>1072</v>
      </c>
      <c r="J31" s="1081"/>
      <c r="K31" s="965"/>
      <c r="P31" s="966"/>
      <c r="Q31" s="967"/>
      <c r="R31" s="967"/>
      <c r="S31" s="967"/>
      <c r="T31" s="967"/>
      <c r="U31" s="967"/>
      <c r="V31" s="967"/>
      <c r="W31" s="967"/>
      <c r="X31" s="967"/>
      <c r="Y31" s="967"/>
      <c r="Z31" s="967"/>
      <c r="AA31" s="967"/>
      <c r="AB31" s="967"/>
      <c r="AC31" s="967"/>
      <c r="AD31" s="967"/>
      <c r="AE31" s="967"/>
      <c r="AF31" s="967"/>
      <c r="AG31" s="967"/>
      <c r="AH31" s="967"/>
      <c r="AI31" s="967"/>
      <c r="AJ31" s="967"/>
      <c r="AK31" s="967"/>
      <c r="AL31" s="967"/>
      <c r="AM31" s="967"/>
      <c r="AN31" s="967"/>
      <c r="AO31" s="967"/>
      <c r="AP31" s="967"/>
      <c r="AQ31" s="967"/>
      <c r="AR31" s="967"/>
      <c r="AS31" s="967"/>
      <c r="AT31" s="967"/>
      <c r="AU31" s="967"/>
      <c r="AV31" s="967"/>
      <c r="AW31" s="967"/>
      <c r="AX31" s="967"/>
      <c r="AY31" s="967"/>
      <c r="AZ31" s="967"/>
      <c r="BA31" s="967"/>
      <c r="BB31" s="967"/>
      <c r="BC31" s="967"/>
      <c r="BD31" s="967"/>
      <c r="BE31" s="967"/>
      <c r="BF31" s="967"/>
      <c r="BG31" s="967"/>
      <c r="BH31" s="967"/>
      <c r="BI31" s="967"/>
      <c r="BJ31" s="967"/>
      <c r="BK31" s="967"/>
      <c r="BL31" s="967"/>
      <c r="BM31" s="967"/>
      <c r="BN31" s="967"/>
      <c r="BO31" s="967"/>
      <c r="BP31" s="967"/>
      <c r="BQ31" s="967"/>
      <c r="BR31" s="967"/>
      <c r="BS31" s="967"/>
      <c r="BT31" s="967"/>
      <c r="BU31" s="967"/>
      <c r="BV31" s="967"/>
      <c r="BW31" s="967"/>
      <c r="BX31" s="967"/>
      <c r="BY31" s="967"/>
      <c r="BZ31" s="967"/>
      <c r="CA31" s="967"/>
      <c r="CB31" s="967"/>
      <c r="CC31" s="967"/>
    </row>
    <row r="32" spans="1:81" s="270" customFormat="1" ht="18" customHeight="1" thickBot="1" x14ac:dyDescent="0.35">
      <c r="A32" s="1254"/>
      <c r="B32" s="1255"/>
      <c r="C32" s="1256"/>
      <c r="D32" s="1036" t="s">
        <v>1652</v>
      </c>
      <c r="E32" s="284" t="s">
        <v>1662</v>
      </c>
      <c r="F32" s="1037"/>
      <c r="G32" s="1007"/>
      <c r="H32" s="1037"/>
      <c r="I32" s="1083"/>
      <c r="J32" s="1086"/>
      <c r="K32" s="1040"/>
      <c r="P32" s="966"/>
      <c r="Q32" s="967"/>
      <c r="R32" s="967"/>
      <c r="S32" s="967"/>
      <c r="T32" s="967"/>
      <c r="U32" s="967"/>
      <c r="V32" s="967"/>
      <c r="W32" s="967"/>
      <c r="X32" s="967"/>
      <c r="Y32" s="967"/>
      <c r="Z32" s="967"/>
      <c r="AA32" s="967"/>
      <c r="AB32" s="967"/>
      <c r="AC32" s="967"/>
      <c r="AD32" s="967"/>
      <c r="AE32" s="967"/>
      <c r="AF32" s="967"/>
      <c r="AG32" s="967"/>
      <c r="AH32" s="967"/>
      <c r="AI32" s="967"/>
      <c r="AJ32" s="967"/>
      <c r="AK32" s="967"/>
      <c r="AL32" s="967"/>
      <c r="AM32" s="967"/>
      <c r="AN32" s="967"/>
      <c r="AO32" s="967"/>
      <c r="AP32" s="967"/>
      <c r="AQ32" s="967"/>
      <c r="AR32" s="967"/>
      <c r="AS32" s="967"/>
      <c r="AT32" s="967"/>
      <c r="AU32" s="967"/>
      <c r="AV32" s="967"/>
      <c r="AW32" s="967"/>
      <c r="AX32" s="967"/>
      <c r="AY32" s="967"/>
      <c r="AZ32" s="967"/>
      <c r="BA32" s="967"/>
      <c r="BB32" s="967"/>
      <c r="BC32" s="967"/>
      <c r="BD32" s="967"/>
      <c r="BE32" s="967"/>
      <c r="BF32" s="967"/>
      <c r="BG32" s="967"/>
      <c r="BH32" s="967"/>
      <c r="BI32" s="967"/>
      <c r="BJ32" s="967"/>
      <c r="BK32" s="967"/>
      <c r="BL32" s="967"/>
      <c r="BM32" s="967"/>
      <c r="BN32" s="967"/>
      <c r="BO32" s="967"/>
      <c r="BP32" s="967"/>
      <c r="BQ32" s="967"/>
      <c r="BR32" s="967"/>
      <c r="BS32" s="967"/>
      <c r="BT32" s="967"/>
      <c r="BU32" s="967"/>
      <c r="BV32" s="967"/>
      <c r="BW32" s="967"/>
      <c r="BX32" s="967"/>
      <c r="BY32" s="967"/>
      <c r="BZ32" s="967"/>
      <c r="CA32" s="967"/>
      <c r="CB32" s="967"/>
      <c r="CC32" s="967"/>
    </row>
    <row r="33" spans="1:81" s="270" customFormat="1" ht="74.25" customHeight="1" thickBot="1" x14ac:dyDescent="0.35">
      <c r="A33" s="1279" t="s">
        <v>1665</v>
      </c>
      <c r="B33" s="1279"/>
      <c r="C33" s="1279"/>
      <c r="D33" s="1034" t="b">
        <f>IF(Import!L244=20,"Increase",IF(Import!L244=21,"Decrease",IF(Import!L244=22,"No Change",IF(Import!L244=23,"N/A"))))</f>
        <v>0</v>
      </c>
      <c r="E33" s="1005" t="s">
        <v>1666</v>
      </c>
      <c r="F33" s="1034" t="b">
        <f>D33</f>
        <v>0</v>
      </c>
      <c r="G33" s="1007"/>
      <c r="H33" s="1060" t="s">
        <v>1667</v>
      </c>
      <c r="I33" s="1079" t="s">
        <v>1073</v>
      </c>
      <c r="J33" s="1081"/>
      <c r="K33" s="1041"/>
      <c r="P33" s="966"/>
      <c r="Q33" s="967"/>
      <c r="R33" s="967"/>
      <c r="S33" s="967"/>
      <c r="T33" s="967"/>
      <c r="U33" s="967"/>
      <c r="V33" s="967"/>
      <c r="W33" s="967"/>
      <c r="X33" s="967"/>
      <c r="Y33" s="967"/>
      <c r="Z33" s="967"/>
      <c r="AA33" s="967"/>
      <c r="AB33" s="967"/>
      <c r="AC33" s="967"/>
      <c r="AD33" s="967"/>
      <c r="AE33" s="967"/>
      <c r="AF33" s="967"/>
      <c r="AG33" s="967"/>
      <c r="AH33" s="967"/>
      <c r="AI33" s="967"/>
      <c r="AJ33" s="967"/>
      <c r="AK33" s="967"/>
      <c r="AL33" s="967"/>
      <c r="AM33" s="967"/>
      <c r="AN33" s="967"/>
      <c r="AO33" s="967"/>
      <c r="AP33" s="967"/>
      <c r="AQ33" s="967"/>
      <c r="AR33" s="967"/>
      <c r="AS33" s="967"/>
      <c r="AT33" s="967"/>
      <c r="AU33" s="967"/>
      <c r="AV33" s="967"/>
      <c r="AW33" s="967"/>
      <c r="AX33" s="967"/>
      <c r="AY33" s="967"/>
      <c r="AZ33" s="967"/>
      <c r="BA33" s="967"/>
      <c r="BB33" s="967"/>
      <c r="BC33" s="967"/>
      <c r="BD33" s="967"/>
      <c r="BE33" s="967"/>
      <c r="BF33" s="967"/>
      <c r="BG33" s="967"/>
      <c r="BH33" s="967"/>
      <c r="BI33" s="967"/>
      <c r="BJ33" s="967"/>
      <c r="BK33" s="967"/>
      <c r="BL33" s="967"/>
      <c r="BM33" s="967"/>
      <c r="BN33" s="967"/>
      <c r="BO33" s="967"/>
      <c r="BP33" s="967"/>
      <c r="BQ33" s="967"/>
      <c r="BR33" s="967"/>
      <c r="BS33" s="967"/>
      <c r="BT33" s="967"/>
      <c r="BU33" s="967"/>
      <c r="BV33" s="967"/>
      <c r="BW33" s="967"/>
      <c r="BX33" s="967"/>
      <c r="BY33" s="967"/>
      <c r="BZ33" s="967"/>
      <c r="CA33" s="967"/>
      <c r="CB33" s="967"/>
      <c r="CC33" s="967"/>
    </row>
    <row r="34" spans="1:81" s="270" customFormat="1" ht="18" customHeight="1" thickBot="1" x14ac:dyDescent="0.35">
      <c r="A34" s="1254"/>
      <c r="B34" s="1255"/>
      <c r="C34" s="1256"/>
      <c r="D34" s="1036" t="s">
        <v>1652</v>
      </c>
      <c r="E34" s="284" t="s">
        <v>1662</v>
      </c>
      <c r="F34" s="1037"/>
      <c r="G34" s="1007"/>
      <c r="H34" s="1070"/>
      <c r="I34" s="1083"/>
      <c r="J34" s="1086"/>
      <c r="K34" s="1042"/>
      <c r="P34" s="966"/>
      <c r="Q34" s="967"/>
      <c r="R34" s="967"/>
      <c r="S34" s="967"/>
      <c r="T34" s="967"/>
      <c r="U34" s="967"/>
      <c r="V34" s="967"/>
      <c r="W34" s="967"/>
      <c r="X34" s="967"/>
      <c r="Y34" s="967"/>
      <c r="Z34" s="967"/>
      <c r="AA34" s="967"/>
      <c r="AB34" s="967"/>
      <c r="AC34" s="967"/>
      <c r="AD34" s="967"/>
      <c r="AE34" s="967"/>
      <c r="AF34" s="967"/>
      <c r="AG34" s="967"/>
      <c r="AH34" s="967"/>
      <c r="AI34" s="967"/>
      <c r="AJ34" s="967"/>
      <c r="AK34" s="967"/>
      <c r="AL34" s="967"/>
      <c r="AM34" s="967"/>
      <c r="AN34" s="967"/>
      <c r="AO34" s="967"/>
      <c r="AP34" s="967"/>
      <c r="AQ34" s="967"/>
      <c r="AR34" s="967"/>
      <c r="AS34" s="967"/>
      <c r="AT34" s="967"/>
      <c r="AU34" s="967"/>
      <c r="AV34" s="967"/>
      <c r="AW34" s="967"/>
      <c r="AX34" s="967"/>
      <c r="AY34" s="967"/>
      <c r="AZ34" s="967"/>
      <c r="BA34" s="967"/>
      <c r="BB34" s="967"/>
      <c r="BC34" s="967"/>
      <c r="BD34" s="967"/>
      <c r="BE34" s="967"/>
      <c r="BF34" s="967"/>
      <c r="BG34" s="967"/>
      <c r="BH34" s="967"/>
      <c r="BI34" s="967"/>
      <c r="BJ34" s="967"/>
      <c r="BK34" s="967"/>
      <c r="BL34" s="967"/>
      <c r="BM34" s="967"/>
      <c r="BN34" s="967"/>
      <c r="BO34" s="967"/>
      <c r="BP34" s="967"/>
      <c r="BQ34" s="967"/>
      <c r="BR34" s="967"/>
      <c r="BS34" s="967"/>
      <c r="BT34" s="967"/>
      <c r="BU34" s="967"/>
      <c r="BV34" s="967"/>
      <c r="BW34" s="967"/>
      <c r="BX34" s="967"/>
      <c r="BY34" s="967"/>
      <c r="BZ34" s="967"/>
      <c r="CA34" s="967"/>
      <c r="CB34" s="967"/>
      <c r="CC34" s="967"/>
    </row>
    <row r="35" spans="1:81" s="270" customFormat="1" ht="71.25" customHeight="1" thickBot="1" x14ac:dyDescent="0.35">
      <c r="A35" s="1270" t="s">
        <v>1307</v>
      </c>
      <c r="B35" s="1271"/>
      <c r="C35" s="1272"/>
      <c r="D35" s="1043" t="str">
        <f>IF(Import!L256=1,"Yes",IF(Import!L256=2,"No",IF(Import!L256=0,"This question must be answered")))</f>
        <v>This question must be answered</v>
      </c>
      <c r="E35" s="1005" t="s">
        <v>1077</v>
      </c>
      <c r="F35" s="1005" t="str">
        <f>+D35</f>
        <v>This question must be answered</v>
      </c>
      <c r="G35" s="1007"/>
      <c r="H35" s="1060" t="s">
        <v>1668</v>
      </c>
      <c r="I35" s="1079" t="s">
        <v>1068</v>
      </c>
      <c r="J35" s="1081"/>
      <c r="K35" s="965"/>
      <c r="P35" s="966"/>
      <c r="Q35" s="967"/>
      <c r="R35" s="967"/>
      <c r="S35" s="967"/>
      <c r="T35" s="967"/>
      <c r="U35" s="967"/>
      <c r="V35" s="967"/>
      <c r="W35" s="967"/>
      <c r="X35" s="967"/>
      <c r="Y35" s="967"/>
      <c r="Z35" s="967"/>
      <c r="AA35" s="967"/>
      <c r="AB35" s="967"/>
      <c r="AC35" s="967"/>
      <c r="AD35" s="967"/>
      <c r="AE35" s="967"/>
      <c r="AF35" s="967"/>
      <c r="AG35" s="967"/>
      <c r="AH35" s="967"/>
      <c r="AI35" s="967"/>
      <c r="AJ35" s="967"/>
      <c r="AK35" s="967"/>
      <c r="AL35" s="967"/>
      <c r="AM35" s="967"/>
      <c r="AN35" s="967"/>
      <c r="AO35" s="967"/>
      <c r="AP35" s="967"/>
      <c r="AQ35" s="967"/>
      <c r="AR35" s="967"/>
      <c r="AS35" s="967"/>
      <c r="AT35" s="967"/>
      <c r="AU35" s="967"/>
      <c r="AV35" s="967"/>
      <c r="AW35" s="967"/>
      <c r="AX35" s="967"/>
      <c r="AY35" s="967"/>
      <c r="AZ35" s="967"/>
      <c r="BA35" s="967"/>
      <c r="BB35" s="967"/>
      <c r="BC35" s="967"/>
      <c r="BD35" s="967"/>
      <c r="BE35" s="967"/>
      <c r="BF35" s="967"/>
      <c r="BG35" s="967"/>
      <c r="BH35" s="967"/>
      <c r="BI35" s="967"/>
      <c r="BJ35" s="967"/>
      <c r="BK35" s="967"/>
      <c r="BL35" s="967"/>
      <c r="BM35" s="967"/>
      <c r="BN35" s="967"/>
      <c r="BO35" s="967"/>
      <c r="BP35" s="967"/>
      <c r="BQ35" s="967"/>
      <c r="BR35" s="967"/>
      <c r="BS35" s="967"/>
      <c r="BT35" s="967"/>
      <c r="BU35" s="967"/>
      <c r="BV35" s="967"/>
      <c r="BW35" s="967"/>
      <c r="BX35" s="967"/>
      <c r="BY35" s="967"/>
      <c r="BZ35" s="967"/>
      <c r="CA35" s="967"/>
      <c r="CB35" s="967"/>
      <c r="CC35" s="967"/>
    </row>
    <row r="36" spans="1:81" s="270" customFormat="1" ht="18" customHeight="1" thickBot="1" x14ac:dyDescent="0.35">
      <c r="A36" s="1254"/>
      <c r="B36" s="1255"/>
      <c r="C36" s="1256"/>
      <c r="D36" s="1036" t="s">
        <v>1652</v>
      </c>
      <c r="E36" s="284" t="s">
        <v>1662</v>
      </c>
      <c r="F36" s="1045"/>
      <c r="G36" s="1007"/>
      <c r="H36" s="1070"/>
      <c r="I36" s="1083"/>
      <c r="J36" s="1086"/>
      <c r="K36" s="965"/>
      <c r="P36" s="966"/>
      <c r="Q36" s="967"/>
      <c r="R36" s="967"/>
      <c r="S36" s="967"/>
      <c r="T36" s="967"/>
      <c r="U36" s="967"/>
      <c r="V36" s="967"/>
      <c r="W36" s="967"/>
      <c r="X36" s="967"/>
      <c r="Y36" s="967"/>
      <c r="Z36" s="967"/>
      <c r="AA36" s="967"/>
      <c r="AB36" s="967"/>
      <c r="AC36" s="967"/>
      <c r="AD36" s="967"/>
      <c r="AE36" s="967"/>
      <c r="AF36" s="967"/>
      <c r="AG36" s="967"/>
      <c r="AH36" s="967"/>
      <c r="AI36" s="967"/>
      <c r="AJ36" s="967"/>
      <c r="AK36" s="967"/>
      <c r="AL36" s="967"/>
      <c r="AM36" s="967"/>
      <c r="AN36" s="967"/>
      <c r="AO36" s="967"/>
      <c r="AP36" s="967"/>
      <c r="AQ36" s="967"/>
      <c r="AR36" s="967"/>
      <c r="AS36" s="967"/>
      <c r="AT36" s="967"/>
      <c r="AU36" s="967"/>
      <c r="AV36" s="967"/>
      <c r="AW36" s="967"/>
      <c r="AX36" s="967"/>
      <c r="AY36" s="967"/>
      <c r="AZ36" s="967"/>
      <c r="BA36" s="967"/>
      <c r="BB36" s="967"/>
      <c r="BC36" s="967"/>
      <c r="BD36" s="967"/>
      <c r="BE36" s="967"/>
      <c r="BF36" s="967"/>
      <c r="BG36" s="967"/>
      <c r="BH36" s="967"/>
      <c r="BI36" s="967"/>
      <c r="BJ36" s="967"/>
      <c r="BK36" s="967"/>
      <c r="BL36" s="967"/>
      <c r="BM36" s="967"/>
      <c r="BN36" s="967"/>
      <c r="BO36" s="967"/>
      <c r="BP36" s="967"/>
      <c r="BQ36" s="967"/>
      <c r="BR36" s="967"/>
      <c r="BS36" s="967"/>
      <c r="BT36" s="967"/>
      <c r="BU36" s="967"/>
      <c r="BV36" s="967"/>
      <c r="BW36" s="967"/>
      <c r="BX36" s="967"/>
      <c r="BY36" s="967"/>
      <c r="BZ36" s="967"/>
      <c r="CA36" s="967"/>
      <c r="CB36" s="967"/>
      <c r="CC36" s="967"/>
    </row>
    <row r="37" spans="1:81" s="270" customFormat="1" ht="81" customHeight="1" thickBot="1" x14ac:dyDescent="0.35">
      <c r="A37" s="1270" t="s">
        <v>1255</v>
      </c>
      <c r="B37" s="1271"/>
      <c r="C37" s="1272"/>
      <c r="D37" s="1038" t="str">
        <f>IF(Import!L191&gt;(Import!L155+Import!L158)*0.03,"Yes","No")</f>
        <v>No</v>
      </c>
      <c r="E37" s="1046"/>
      <c r="F37" s="1038" t="str">
        <f>+D37</f>
        <v>No</v>
      </c>
      <c r="G37" s="1007"/>
      <c r="H37" s="985" t="s">
        <v>1669</v>
      </c>
      <c r="I37" s="1079" t="s">
        <v>1074</v>
      </c>
      <c r="J37" s="1081"/>
      <c r="K37" s="965"/>
      <c r="P37" s="966"/>
      <c r="Q37" s="967"/>
      <c r="R37" s="967"/>
      <c r="S37" s="967"/>
      <c r="T37" s="967"/>
      <c r="U37" s="967"/>
      <c r="V37" s="967"/>
      <c r="W37" s="967"/>
      <c r="X37" s="967"/>
      <c r="Y37" s="967"/>
      <c r="Z37" s="967"/>
      <c r="AA37" s="967"/>
      <c r="AB37" s="967"/>
      <c r="AC37" s="967"/>
      <c r="AD37" s="967"/>
      <c r="AE37" s="967"/>
      <c r="AF37" s="967"/>
      <c r="AG37" s="967"/>
      <c r="AH37" s="967"/>
      <c r="AI37" s="967"/>
      <c r="AJ37" s="967"/>
      <c r="AK37" s="967"/>
      <c r="AL37" s="967"/>
      <c r="AM37" s="967"/>
      <c r="AN37" s="967"/>
      <c r="AO37" s="967"/>
      <c r="AP37" s="967"/>
      <c r="AQ37" s="967"/>
      <c r="AR37" s="967"/>
      <c r="AS37" s="967"/>
      <c r="AT37" s="967"/>
      <c r="AU37" s="967"/>
      <c r="AV37" s="967"/>
      <c r="AW37" s="967"/>
      <c r="AX37" s="967"/>
      <c r="AY37" s="967"/>
      <c r="AZ37" s="967"/>
      <c r="BA37" s="967"/>
      <c r="BB37" s="967"/>
      <c r="BC37" s="967"/>
      <c r="BD37" s="967"/>
      <c r="BE37" s="967"/>
      <c r="BF37" s="967"/>
      <c r="BG37" s="967"/>
      <c r="BH37" s="967"/>
      <c r="BI37" s="967"/>
      <c r="BJ37" s="967"/>
      <c r="BK37" s="967"/>
      <c r="BL37" s="967"/>
      <c r="BM37" s="967"/>
      <c r="BN37" s="967"/>
      <c r="BO37" s="967"/>
      <c r="BP37" s="967"/>
      <c r="BQ37" s="967"/>
      <c r="BR37" s="967"/>
      <c r="BS37" s="967"/>
      <c r="BT37" s="967"/>
      <c r="BU37" s="967"/>
      <c r="BV37" s="967"/>
      <c r="BW37" s="967"/>
      <c r="BX37" s="967"/>
      <c r="BY37" s="967"/>
      <c r="BZ37" s="967"/>
      <c r="CA37" s="967"/>
      <c r="CB37" s="967"/>
      <c r="CC37" s="967"/>
    </row>
    <row r="38" spans="1:81" s="270" customFormat="1" ht="18" customHeight="1" thickBot="1" x14ac:dyDescent="0.35">
      <c r="A38" s="1254"/>
      <c r="B38" s="1255"/>
      <c r="C38" s="1256"/>
      <c r="D38" s="1036" t="s">
        <v>1652</v>
      </c>
      <c r="E38" s="284" t="s">
        <v>1662</v>
      </c>
      <c r="F38" s="1037"/>
      <c r="G38" s="1007"/>
      <c r="H38" s="1037"/>
      <c r="I38" s="1083"/>
      <c r="J38" s="1086"/>
      <c r="K38" s="965"/>
      <c r="P38" s="966"/>
      <c r="Q38" s="967"/>
      <c r="R38" s="967"/>
      <c r="S38" s="967"/>
      <c r="T38" s="967"/>
      <c r="U38" s="967"/>
      <c r="V38" s="967"/>
      <c r="W38" s="967"/>
      <c r="X38" s="967"/>
      <c r="Y38" s="967"/>
      <c r="Z38" s="967"/>
      <c r="AA38" s="967"/>
      <c r="AB38" s="967"/>
      <c r="AC38" s="967"/>
      <c r="AD38" s="967"/>
      <c r="AE38" s="967"/>
      <c r="AF38" s="967"/>
      <c r="AG38" s="967"/>
      <c r="AH38" s="967"/>
      <c r="AI38" s="967"/>
      <c r="AJ38" s="967"/>
      <c r="AK38" s="967"/>
      <c r="AL38" s="967"/>
      <c r="AM38" s="967"/>
      <c r="AN38" s="967"/>
      <c r="AO38" s="967"/>
      <c r="AP38" s="967"/>
      <c r="AQ38" s="967"/>
      <c r="AR38" s="967"/>
      <c r="AS38" s="967"/>
      <c r="AT38" s="967"/>
      <c r="AU38" s="967"/>
      <c r="AV38" s="967"/>
      <c r="AW38" s="967"/>
      <c r="AX38" s="967"/>
      <c r="AY38" s="967"/>
      <c r="AZ38" s="967"/>
      <c r="BA38" s="967"/>
      <c r="BB38" s="967"/>
      <c r="BC38" s="967"/>
      <c r="BD38" s="967"/>
      <c r="BE38" s="967"/>
      <c r="BF38" s="967"/>
      <c r="BG38" s="967"/>
      <c r="BH38" s="967"/>
      <c r="BI38" s="967"/>
      <c r="BJ38" s="967"/>
      <c r="BK38" s="967"/>
      <c r="BL38" s="967"/>
      <c r="BM38" s="967"/>
      <c r="BN38" s="967"/>
      <c r="BO38" s="967"/>
      <c r="BP38" s="967"/>
      <c r="BQ38" s="967"/>
      <c r="BR38" s="967"/>
      <c r="BS38" s="967"/>
      <c r="BT38" s="967"/>
      <c r="BU38" s="967"/>
      <c r="BV38" s="967"/>
      <c r="BW38" s="967"/>
      <c r="BX38" s="967"/>
      <c r="BY38" s="967"/>
      <c r="BZ38" s="967"/>
      <c r="CA38" s="967"/>
      <c r="CB38" s="967"/>
      <c r="CC38" s="967"/>
    </row>
    <row r="39" spans="1:81" s="270" customFormat="1" ht="128.25" customHeight="1" thickBot="1" x14ac:dyDescent="0.35">
      <c r="A39" s="1295" t="s">
        <v>1670</v>
      </c>
      <c r="B39" s="1295"/>
      <c r="C39" s="1295"/>
      <c r="D39" s="1005" t="str">
        <f>IFERROR(VLOOKUP(B5,UAL!A3:D141,4,FALSE),"Unit is not on the Unit Assistance List at this time")</f>
        <v>Unit is not on the Unit Assistance List at this time</v>
      </c>
      <c r="E39" s="1005" t="s">
        <v>1576</v>
      </c>
      <c r="F39" s="1005" t="str">
        <f>D39</f>
        <v>Unit is not on the Unit Assistance List at this time</v>
      </c>
      <c r="G39" s="1023"/>
      <c r="H39" s="1071" t="str">
        <f>IF(D39="Unit is not on the Unit Assistance List at this time","N/A-Unit is not on the Unit Assistance List.",L39)</f>
        <v>N/A-Unit is not on the Unit Assistance List.</v>
      </c>
      <c r="I39" s="1084"/>
      <c r="J39" s="1081"/>
      <c r="K39" s="965"/>
      <c r="L39" s="270" t="s">
        <v>1334</v>
      </c>
      <c r="P39" s="966"/>
      <c r="Q39" s="967"/>
      <c r="R39" s="967"/>
      <c r="S39" s="967"/>
      <c r="T39" s="967"/>
      <c r="U39" s="967"/>
      <c r="V39" s="967"/>
      <c r="W39" s="967"/>
      <c r="X39" s="967"/>
      <c r="Y39" s="967"/>
      <c r="Z39" s="967"/>
      <c r="AA39" s="967"/>
      <c r="AB39" s="967"/>
      <c r="AC39" s="967"/>
      <c r="AD39" s="967"/>
      <c r="AE39" s="967"/>
      <c r="AF39" s="967"/>
      <c r="AG39" s="967"/>
      <c r="AH39" s="967"/>
      <c r="AI39" s="967"/>
      <c r="AJ39" s="967"/>
      <c r="AK39" s="967"/>
      <c r="AL39" s="967"/>
      <c r="AM39" s="967"/>
      <c r="AN39" s="967"/>
      <c r="AO39" s="967"/>
      <c r="AP39" s="967"/>
      <c r="AQ39" s="967"/>
      <c r="AR39" s="967"/>
      <c r="AS39" s="967"/>
      <c r="AT39" s="967"/>
      <c r="AU39" s="967"/>
      <c r="AV39" s="967"/>
      <c r="AW39" s="967"/>
      <c r="AX39" s="967"/>
      <c r="AY39" s="967"/>
      <c r="AZ39" s="967"/>
      <c r="BA39" s="967"/>
      <c r="BB39" s="967"/>
      <c r="BC39" s="967"/>
      <c r="BD39" s="967"/>
      <c r="BE39" s="967"/>
      <c r="BF39" s="967"/>
      <c r="BG39" s="967"/>
      <c r="BH39" s="967"/>
      <c r="BI39" s="967"/>
      <c r="BJ39" s="967"/>
      <c r="BK39" s="967"/>
      <c r="BL39" s="967"/>
      <c r="BM39" s="967"/>
      <c r="BN39" s="967"/>
      <c r="BO39" s="967"/>
      <c r="BP39" s="967"/>
      <c r="BQ39" s="967"/>
      <c r="BR39" s="967"/>
      <c r="BS39" s="967"/>
      <c r="BT39" s="967"/>
      <c r="BU39" s="967"/>
      <c r="BV39" s="967"/>
      <c r="BW39" s="967"/>
      <c r="BX39" s="967"/>
      <c r="BY39" s="967"/>
      <c r="BZ39" s="967"/>
      <c r="CA39" s="967"/>
      <c r="CB39" s="967"/>
      <c r="CC39" s="967"/>
    </row>
    <row r="40" spans="1:81" s="270" customFormat="1" ht="18" customHeight="1" thickBot="1" x14ac:dyDescent="0.35">
      <c r="A40" s="1254"/>
      <c r="B40" s="1255"/>
      <c r="C40" s="1256"/>
      <c r="D40" s="1036" t="s">
        <v>1652</v>
      </c>
      <c r="E40" s="284" t="s">
        <v>1662</v>
      </c>
      <c r="F40" s="1037"/>
      <c r="G40" s="1007"/>
      <c r="H40" s="1070"/>
      <c r="I40" s="1083"/>
      <c r="J40" s="1086"/>
      <c r="K40" s="965"/>
      <c r="P40" s="966"/>
      <c r="Q40" s="967"/>
      <c r="R40" s="967"/>
      <c r="S40" s="967"/>
      <c r="T40" s="967"/>
      <c r="U40" s="967"/>
      <c r="V40" s="967"/>
      <c r="W40" s="967"/>
      <c r="X40" s="967"/>
      <c r="Y40" s="967"/>
      <c r="Z40" s="967"/>
      <c r="AA40" s="967"/>
      <c r="AB40" s="967"/>
      <c r="AC40" s="967"/>
      <c r="AD40" s="967"/>
      <c r="AE40" s="967"/>
      <c r="AF40" s="967"/>
      <c r="AG40" s="967"/>
      <c r="AH40" s="967"/>
      <c r="AI40" s="967"/>
      <c r="AJ40" s="967"/>
      <c r="AK40" s="967"/>
      <c r="AL40" s="967"/>
      <c r="AM40" s="967"/>
      <c r="AN40" s="967"/>
      <c r="AO40" s="967"/>
      <c r="AP40" s="967"/>
      <c r="AQ40" s="967"/>
      <c r="AR40" s="967"/>
      <c r="AS40" s="967"/>
      <c r="AT40" s="967"/>
      <c r="AU40" s="967"/>
      <c r="AV40" s="967"/>
      <c r="AW40" s="967"/>
      <c r="AX40" s="967"/>
      <c r="AY40" s="967"/>
      <c r="AZ40" s="967"/>
      <c r="BA40" s="967"/>
      <c r="BB40" s="967"/>
      <c r="BC40" s="967"/>
      <c r="BD40" s="967"/>
      <c r="BE40" s="967"/>
      <c r="BF40" s="967"/>
      <c r="BG40" s="967"/>
      <c r="BH40" s="967"/>
      <c r="BI40" s="967"/>
      <c r="BJ40" s="967"/>
      <c r="BK40" s="967"/>
      <c r="BL40" s="967"/>
      <c r="BM40" s="967"/>
      <c r="BN40" s="967"/>
      <c r="BO40" s="967"/>
      <c r="BP40" s="967"/>
      <c r="BQ40" s="967"/>
      <c r="BR40" s="967"/>
      <c r="BS40" s="967"/>
      <c r="BT40" s="967"/>
      <c r="BU40" s="967"/>
      <c r="BV40" s="967"/>
      <c r="BW40" s="967"/>
      <c r="BX40" s="967"/>
      <c r="BY40" s="967"/>
      <c r="BZ40" s="967"/>
      <c r="CA40" s="967"/>
      <c r="CB40" s="967"/>
      <c r="CC40" s="967"/>
    </row>
    <row r="41" spans="1:81" s="270" customFormat="1" ht="59.25" customHeight="1" thickBot="1" x14ac:dyDescent="0.35">
      <c r="A41" s="1273" t="s">
        <v>1309</v>
      </c>
      <c r="B41" s="1274"/>
      <c r="C41" s="1296"/>
      <c r="D41" s="1012" t="str">
        <f>IF(Import!L257=1,"Yes",IF(Import!L257=2,"No",IF(Import!L257="0","This question must be answered")))</f>
        <v>This question must be answered</v>
      </c>
      <c r="E41" s="1047"/>
      <c r="F41" s="1012" t="str">
        <f>+D41</f>
        <v>This question must be answered</v>
      </c>
      <c r="G41" s="1007"/>
      <c r="H41" s="1060" t="s">
        <v>1671</v>
      </c>
      <c r="I41" s="1085" t="s">
        <v>1075</v>
      </c>
      <c r="J41" s="1081"/>
      <c r="K41" s="965"/>
      <c r="P41" s="966"/>
      <c r="Q41" s="967"/>
      <c r="R41" s="967"/>
      <c r="S41" s="967"/>
      <c r="T41" s="967"/>
      <c r="U41" s="967"/>
      <c r="V41" s="967"/>
      <c r="W41" s="967"/>
      <c r="X41" s="967"/>
      <c r="Y41" s="967"/>
      <c r="Z41" s="967"/>
      <c r="AA41" s="967"/>
      <c r="AB41" s="967"/>
      <c r="AC41" s="967"/>
      <c r="AD41" s="967"/>
      <c r="AE41" s="967"/>
      <c r="AF41" s="967"/>
      <c r="AG41" s="967"/>
      <c r="AH41" s="967"/>
      <c r="AI41" s="967"/>
      <c r="AJ41" s="967"/>
      <c r="AK41" s="967"/>
      <c r="AL41" s="967"/>
      <c r="AM41" s="967"/>
      <c r="AN41" s="967"/>
      <c r="AO41" s="967"/>
      <c r="AP41" s="967"/>
      <c r="AQ41" s="967"/>
      <c r="AR41" s="967"/>
      <c r="AS41" s="967"/>
      <c r="AT41" s="967"/>
      <c r="AU41" s="967"/>
      <c r="AV41" s="967"/>
      <c r="AW41" s="967"/>
      <c r="AX41" s="967"/>
      <c r="AY41" s="967"/>
      <c r="AZ41" s="967"/>
      <c r="BA41" s="967"/>
      <c r="BB41" s="967"/>
      <c r="BC41" s="967"/>
      <c r="BD41" s="967"/>
      <c r="BE41" s="967"/>
      <c r="BF41" s="967"/>
      <c r="BG41" s="967"/>
      <c r="BH41" s="967"/>
      <c r="BI41" s="967"/>
      <c r="BJ41" s="967"/>
      <c r="BK41" s="967"/>
      <c r="BL41" s="967"/>
      <c r="BM41" s="967"/>
      <c r="BN41" s="967"/>
      <c r="BO41" s="967"/>
      <c r="BP41" s="967"/>
      <c r="BQ41" s="967"/>
      <c r="BR41" s="967"/>
      <c r="BS41" s="967"/>
      <c r="BT41" s="967"/>
      <c r="BU41" s="967"/>
      <c r="BV41" s="967"/>
      <c r="BW41" s="967"/>
      <c r="BX41" s="967"/>
      <c r="BY41" s="967"/>
      <c r="BZ41" s="967"/>
      <c r="CA41" s="967"/>
      <c r="CB41" s="967"/>
      <c r="CC41" s="967"/>
    </row>
    <row r="42" spans="1:81" s="270" customFormat="1" ht="18" customHeight="1" thickBot="1" x14ac:dyDescent="0.35">
      <c r="A42" s="1273" t="s">
        <v>1661</v>
      </c>
      <c r="B42" s="1274"/>
      <c r="C42" s="1278"/>
      <c r="D42" s="1036" t="s">
        <v>1652</v>
      </c>
      <c r="E42" s="284" t="s">
        <v>1662</v>
      </c>
      <c r="F42" s="1045"/>
      <c r="G42" s="1007"/>
      <c r="H42" s="1037"/>
      <c r="I42" s="1079"/>
      <c r="J42" s="1086"/>
      <c r="K42" s="965"/>
      <c r="P42" s="966"/>
      <c r="Q42" s="967"/>
      <c r="R42" s="967"/>
      <c r="S42" s="967"/>
      <c r="T42" s="967"/>
      <c r="U42" s="967"/>
      <c r="V42" s="967"/>
      <c r="W42" s="967"/>
      <c r="X42" s="967"/>
      <c r="Y42" s="967"/>
      <c r="Z42" s="967"/>
      <c r="AA42" s="967"/>
      <c r="AB42" s="967"/>
      <c r="AC42" s="967"/>
      <c r="AD42" s="967"/>
      <c r="AE42" s="967"/>
      <c r="AF42" s="967"/>
      <c r="AG42" s="967"/>
      <c r="AH42" s="967"/>
      <c r="AI42" s="967"/>
      <c r="AJ42" s="967"/>
      <c r="AK42" s="967"/>
      <c r="AL42" s="967"/>
      <c r="AM42" s="967"/>
      <c r="AN42" s="967"/>
      <c r="AO42" s="967"/>
      <c r="AP42" s="967"/>
      <c r="AQ42" s="967"/>
      <c r="AR42" s="967"/>
      <c r="AS42" s="967"/>
      <c r="AT42" s="967"/>
      <c r="AU42" s="967"/>
      <c r="AV42" s="967"/>
      <c r="AW42" s="967"/>
      <c r="AX42" s="967"/>
      <c r="AY42" s="967"/>
      <c r="AZ42" s="967"/>
      <c r="BA42" s="967"/>
      <c r="BB42" s="967"/>
      <c r="BC42" s="967"/>
      <c r="BD42" s="967"/>
      <c r="BE42" s="967"/>
      <c r="BF42" s="967"/>
      <c r="BG42" s="967"/>
      <c r="BH42" s="967"/>
      <c r="BI42" s="967"/>
      <c r="BJ42" s="967"/>
      <c r="BK42" s="967"/>
      <c r="BL42" s="967"/>
      <c r="BM42" s="967"/>
      <c r="BN42" s="967"/>
      <c r="BO42" s="967"/>
      <c r="BP42" s="967"/>
      <c r="BQ42" s="967"/>
      <c r="BR42" s="967"/>
      <c r="BS42" s="967"/>
      <c r="BT42" s="967"/>
      <c r="BU42" s="967"/>
      <c r="BV42" s="967"/>
      <c r="BW42" s="967"/>
      <c r="BX42" s="967"/>
      <c r="BY42" s="967"/>
      <c r="BZ42" s="967"/>
      <c r="CA42" s="967"/>
      <c r="CB42" s="967"/>
      <c r="CC42" s="967"/>
    </row>
    <row r="43" spans="1:81" s="270" customFormat="1" ht="62.25" customHeight="1" thickBot="1" x14ac:dyDescent="0.35">
      <c r="A43" s="1270" t="s">
        <v>1326</v>
      </c>
      <c r="B43" s="1271"/>
      <c r="C43" s="1272"/>
      <c r="D43" s="1012" t="str">
        <f>IF(Import!L253=1,"Yes",IF(Import!L253=2,"No",IF(Import!L253=3,"N/A",IF(Import!L253=0,"This question must be answered"))))</f>
        <v>This question must be answered</v>
      </c>
      <c r="E43" s="1047"/>
      <c r="F43" s="1012" t="str">
        <f>D43</f>
        <v>This question must be answered</v>
      </c>
      <c r="G43" s="1007"/>
      <c r="H43" s="1060" t="s">
        <v>1672</v>
      </c>
      <c r="I43" s="1079" t="s">
        <v>1327</v>
      </c>
      <c r="J43" s="1081"/>
      <c r="K43" s="965"/>
      <c r="P43" s="966"/>
      <c r="Q43" s="967"/>
      <c r="R43" s="967"/>
      <c r="S43" s="967"/>
      <c r="T43" s="967"/>
      <c r="U43" s="967"/>
      <c r="V43" s="967"/>
      <c r="W43" s="967"/>
      <c r="X43" s="967"/>
      <c r="Y43" s="967"/>
      <c r="Z43" s="967"/>
      <c r="AA43" s="967"/>
      <c r="AB43" s="967"/>
      <c r="AC43" s="967"/>
      <c r="AD43" s="967"/>
      <c r="AE43" s="967"/>
      <c r="AF43" s="967"/>
      <c r="AG43" s="967"/>
      <c r="AH43" s="967"/>
      <c r="AI43" s="967"/>
      <c r="AJ43" s="967"/>
      <c r="AK43" s="967"/>
      <c r="AL43" s="967"/>
      <c r="AM43" s="967"/>
      <c r="AN43" s="967"/>
      <c r="AO43" s="967"/>
      <c r="AP43" s="967"/>
      <c r="AQ43" s="967"/>
      <c r="AR43" s="967"/>
      <c r="AS43" s="967"/>
      <c r="AT43" s="967"/>
      <c r="AU43" s="967"/>
      <c r="AV43" s="967"/>
      <c r="AW43" s="967"/>
      <c r="AX43" s="967"/>
      <c r="AY43" s="967"/>
      <c r="AZ43" s="967"/>
      <c r="BA43" s="967"/>
      <c r="BB43" s="967"/>
      <c r="BC43" s="967"/>
      <c r="BD43" s="967"/>
      <c r="BE43" s="967"/>
      <c r="BF43" s="967"/>
      <c r="BG43" s="967"/>
      <c r="BH43" s="967"/>
      <c r="BI43" s="967"/>
      <c r="BJ43" s="967"/>
      <c r="BK43" s="967"/>
      <c r="BL43" s="967"/>
      <c r="BM43" s="967"/>
      <c r="BN43" s="967"/>
      <c r="BO43" s="967"/>
      <c r="BP43" s="967"/>
      <c r="BQ43" s="967"/>
      <c r="BR43" s="967"/>
      <c r="BS43" s="967"/>
      <c r="BT43" s="967"/>
      <c r="BU43" s="967"/>
      <c r="BV43" s="967"/>
      <c r="BW43" s="967"/>
      <c r="BX43" s="967"/>
      <c r="BY43" s="967"/>
      <c r="BZ43" s="967"/>
      <c r="CA43" s="967"/>
      <c r="CB43" s="967"/>
      <c r="CC43" s="967"/>
    </row>
    <row r="44" spans="1:81" s="270" customFormat="1" ht="18" customHeight="1" thickBot="1" x14ac:dyDescent="0.35">
      <c r="A44" s="1254"/>
      <c r="B44" s="1255"/>
      <c r="C44" s="1256"/>
      <c r="D44" s="1036" t="s">
        <v>1652</v>
      </c>
      <c r="E44" s="284" t="s">
        <v>1662</v>
      </c>
      <c r="F44" s="1037"/>
      <c r="G44" s="1007"/>
      <c r="H44" s="1070"/>
      <c r="I44" s="1079"/>
      <c r="J44" s="1086"/>
      <c r="K44" s="965"/>
      <c r="P44" s="966"/>
      <c r="Q44" s="967"/>
      <c r="R44" s="967"/>
      <c r="S44" s="967"/>
      <c r="T44" s="967"/>
      <c r="U44" s="967"/>
      <c r="V44" s="967"/>
      <c r="W44" s="967"/>
      <c r="X44" s="967"/>
      <c r="Y44" s="967"/>
      <c r="Z44" s="967"/>
      <c r="AA44" s="967"/>
      <c r="AB44" s="967"/>
      <c r="AC44" s="967"/>
      <c r="AD44" s="967"/>
      <c r="AE44" s="967"/>
      <c r="AF44" s="967"/>
      <c r="AG44" s="967"/>
      <c r="AH44" s="967"/>
      <c r="AI44" s="967"/>
      <c r="AJ44" s="967"/>
      <c r="AK44" s="967"/>
      <c r="AL44" s="967"/>
      <c r="AM44" s="967"/>
      <c r="AN44" s="967"/>
      <c r="AO44" s="967"/>
      <c r="AP44" s="967"/>
      <c r="AQ44" s="967"/>
      <c r="AR44" s="967"/>
      <c r="AS44" s="967"/>
      <c r="AT44" s="967"/>
      <c r="AU44" s="967"/>
      <c r="AV44" s="967"/>
      <c r="AW44" s="967"/>
      <c r="AX44" s="967"/>
      <c r="AY44" s="967"/>
      <c r="AZ44" s="967"/>
      <c r="BA44" s="967"/>
      <c r="BB44" s="967"/>
      <c r="BC44" s="967"/>
      <c r="BD44" s="967"/>
      <c r="BE44" s="967"/>
      <c r="BF44" s="967"/>
      <c r="BG44" s="967"/>
      <c r="BH44" s="967"/>
      <c r="BI44" s="967"/>
      <c r="BJ44" s="967"/>
      <c r="BK44" s="967"/>
      <c r="BL44" s="967"/>
      <c r="BM44" s="967"/>
      <c r="BN44" s="967"/>
      <c r="BO44" s="967"/>
      <c r="BP44" s="967"/>
      <c r="BQ44" s="967"/>
      <c r="BR44" s="967"/>
      <c r="BS44" s="967"/>
      <c r="BT44" s="967"/>
      <c r="BU44" s="967"/>
      <c r="BV44" s="967"/>
      <c r="BW44" s="967"/>
      <c r="BX44" s="967"/>
      <c r="BY44" s="967"/>
      <c r="BZ44" s="967"/>
      <c r="CA44" s="967"/>
      <c r="CB44" s="967"/>
      <c r="CC44" s="967"/>
    </row>
    <row r="45" spans="1:81" s="270" customFormat="1" ht="67.5" customHeight="1" thickBot="1" x14ac:dyDescent="0.35">
      <c r="A45" s="1270" t="s">
        <v>1577</v>
      </c>
      <c r="B45" s="1271"/>
      <c r="C45" s="1272"/>
      <c r="D45" s="1034" t="b">
        <f>IF(Import!L193=1,"Yes",IF(Import!L193=2,"No",IF(Import!L193=3,"N/A")))</f>
        <v>0</v>
      </c>
      <c r="E45" s="1047"/>
      <c r="F45" s="1034" t="b">
        <f>+D45</f>
        <v>0</v>
      </c>
      <c r="G45" s="1007"/>
      <c r="H45" s="1060" t="s">
        <v>1673</v>
      </c>
      <c r="I45" s="1079" t="s">
        <v>1114</v>
      </c>
      <c r="J45" s="1081"/>
      <c r="K45" s="965"/>
      <c r="P45" s="966"/>
      <c r="Q45" s="967"/>
      <c r="R45" s="967"/>
      <c r="S45" s="967"/>
      <c r="T45" s="967"/>
      <c r="U45" s="967"/>
      <c r="V45" s="967"/>
      <c r="W45" s="967"/>
      <c r="X45" s="967"/>
      <c r="Y45" s="967"/>
      <c r="Z45" s="967"/>
      <c r="AA45" s="967"/>
      <c r="AB45" s="967"/>
      <c r="AC45" s="967"/>
      <c r="AD45" s="967"/>
      <c r="AE45" s="967"/>
      <c r="AF45" s="967"/>
      <c r="AG45" s="967"/>
      <c r="AH45" s="967"/>
      <c r="AI45" s="967"/>
      <c r="AJ45" s="967"/>
      <c r="AK45" s="967"/>
      <c r="AL45" s="967"/>
      <c r="AM45" s="967"/>
      <c r="AN45" s="967"/>
      <c r="AO45" s="967"/>
      <c r="AP45" s="967"/>
      <c r="AQ45" s="967"/>
      <c r="AR45" s="967"/>
      <c r="AS45" s="967"/>
      <c r="AT45" s="967"/>
      <c r="AU45" s="967"/>
      <c r="AV45" s="967"/>
      <c r="AW45" s="967"/>
      <c r="AX45" s="967"/>
      <c r="AY45" s="967"/>
      <c r="AZ45" s="967"/>
      <c r="BA45" s="967"/>
      <c r="BB45" s="967"/>
      <c r="BC45" s="967"/>
      <c r="BD45" s="967"/>
      <c r="BE45" s="967"/>
      <c r="BF45" s="967"/>
      <c r="BG45" s="967"/>
      <c r="BH45" s="967"/>
      <c r="BI45" s="967"/>
      <c r="BJ45" s="967"/>
      <c r="BK45" s="967"/>
      <c r="BL45" s="967"/>
      <c r="BM45" s="967"/>
      <c r="BN45" s="967"/>
      <c r="BO45" s="967"/>
      <c r="BP45" s="967"/>
      <c r="BQ45" s="967"/>
      <c r="BR45" s="967"/>
      <c r="BS45" s="967"/>
      <c r="BT45" s="967"/>
      <c r="BU45" s="967"/>
      <c r="BV45" s="967"/>
      <c r="BW45" s="967"/>
      <c r="BX45" s="967"/>
      <c r="BY45" s="967"/>
      <c r="BZ45" s="967"/>
      <c r="CA45" s="967"/>
      <c r="CB45" s="967"/>
      <c r="CC45" s="967"/>
    </row>
    <row r="46" spans="1:81" s="270" customFormat="1" ht="18" customHeight="1" thickBot="1" x14ac:dyDescent="0.35">
      <c r="A46" s="1254"/>
      <c r="B46" s="1255"/>
      <c r="C46" s="1256"/>
      <c r="D46" s="1036" t="s">
        <v>1652</v>
      </c>
      <c r="E46" s="284" t="s">
        <v>1662</v>
      </c>
      <c r="F46" s="1037"/>
      <c r="G46" s="1007"/>
      <c r="H46" s="1070"/>
      <c r="I46" s="1083"/>
      <c r="J46" s="1086"/>
      <c r="K46" s="965"/>
      <c r="P46" s="966"/>
      <c r="Q46" s="967"/>
      <c r="R46" s="967"/>
      <c r="S46" s="967"/>
      <c r="T46" s="967"/>
      <c r="U46" s="967"/>
      <c r="V46" s="967"/>
      <c r="W46" s="967"/>
      <c r="X46" s="967"/>
      <c r="Y46" s="967"/>
      <c r="Z46" s="967"/>
      <c r="AA46" s="967"/>
      <c r="AB46" s="967"/>
      <c r="AC46" s="967"/>
      <c r="AD46" s="967"/>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967"/>
      <c r="BD46" s="967"/>
      <c r="BE46" s="967"/>
      <c r="BF46" s="967"/>
      <c r="BG46" s="967"/>
      <c r="BH46" s="967"/>
      <c r="BI46" s="967"/>
      <c r="BJ46" s="967"/>
      <c r="BK46" s="967"/>
      <c r="BL46" s="967"/>
      <c r="BM46" s="967"/>
      <c r="BN46" s="967"/>
      <c r="BO46" s="967"/>
      <c r="BP46" s="967"/>
      <c r="BQ46" s="967"/>
      <c r="BR46" s="967"/>
      <c r="BS46" s="967"/>
      <c r="BT46" s="967"/>
      <c r="BU46" s="967"/>
      <c r="BV46" s="967"/>
      <c r="BW46" s="967"/>
      <c r="BX46" s="967"/>
      <c r="BY46" s="967"/>
      <c r="BZ46" s="967"/>
      <c r="CA46" s="967"/>
      <c r="CB46" s="967"/>
      <c r="CC46" s="967"/>
    </row>
    <row r="47" spans="1:81" s="270" customFormat="1" ht="68.25" customHeight="1" thickBot="1" x14ac:dyDescent="0.35">
      <c r="A47" s="1270" t="s">
        <v>1048</v>
      </c>
      <c r="B47" s="1271"/>
      <c r="C47" s="1272"/>
      <c r="D47" s="1048" t="e">
        <f>+M47+N47+L47+Import!L250+Import!L251+Import!L254</f>
        <v>#VALUE!</v>
      </c>
      <c r="E47" s="1047"/>
      <c r="F47" s="1049"/>
      <c r="G47" s="1007"/>
      <c r="H47" s="1060" t="s">
        <v>1674</v>
      </c>
      <c r="I47" s="1079" t="s">
        <v>1069</v>
      </c>
      <c r="J47" s="1081"/>
      <c r="K47" s="965"/>
      <c r="L47" s="990">
        <f>IF(Import!L247=1,1,0)</f>
        <v>0</v>
      </c>
      <c r="M47" s="990">
        <f>IF(Import!L248=1,1,0)</f>
        <v>0</v>
      </c>
      <c r="N47" s="990">
        <f>IF(Import!L249=1,1,0)</f>
        <v>0</v>
      </c>
      <c r="P47" s="966"/>
      <c r="Q47" s="967"/>
      <c r="R47" s="967"/>
      <c r="S47" s="967"/>
      <c r="T47" s="967"/>
      <c r="U47" s="967"/>
      <c r="V47" s="967"/>
      <c r="W47" s="967"/>
      <c r="X47" s="967"/>
      <c r="Y47" s="967"/>
      <c r="Z47" s="967"/>
      <c r="AA47" s="967"/>
      <c r="AB47" s="967"/>
      <c r="AC47" s="967"/>
      <c r="AD47" s="967"/>
      <c r="AE47" s="967"/>
      <c r="AF47" s="967"/>
      <c r="AG47" s="967"/>
      <c r="AH47" s="967"/>
      <c r="AI47" s="967"/>
      <c r="AJ47" s="967"/>
      <c r="AK47" s="967"/>
      <c r="AL47" s="967"/>
      <c r="AM47" s="967"/>
      <c r="AN47" s="967"/>
      <c r="AO47" s="967"/>
      <c r="AP47" s="967"/>
      <c r="AQ47" s="967"/>
      <c r="AR47" s="967"/>
      <c r="AS47" s="967"/>
      <c r="AT47" s="967"/>
      <c r="AU47" s="967"/>
      <c r="AV47" s="967"/>
      <c r="AW47" s="967"/>
      <c r="AX47" s="967"/>
      <c r="AY47" s="967"/>
      <c r="AZ47" s="967"/>
      <c r="BA47" s="967"/>
      <c r="BB47" s="967"/>
      <c r="BC47" s="967"/>
      <c r="BD47" s="967"/>
      <c r="BE47" s="967"/>
      <c r="BF47" s="967"/>
      <c r="BG47" s="967"/>
      <c r="BH47" s="967"/>
      <c r="BI47" s="967"/>
      <c r="BJ47" s="967"/>
      <c r="BK47" s="967"/>
      <c r="BL47" s="967"/>
      <c r="BM47" s="967"/>
      <c r="BN47" s="967"/>
      <c r="BO47" s="967"/>
      <c r="BP47" s="967"/>
      <c r="BQ47" s="967"/>
      <c r="BR47" s="967"/>
      <c r="BS47" s="967"/>
      <c r="BT47" s="967"/>
      <c r="BU47" s="967"/>
      <c r="BV47" s="967"/>
      <c r="BW47" s="967"/>
      <c r="BX47" s="967"/>
      <c r="BY47" s="967"/>
      <c r="BZ47" s="967"/>
      <c r="CA47" s="967"/>
      <c r="CB47" s="967"/>
      <c r="CC47" s="967"/>
    </row>
    <row r="48" spans="1:81" s="270" customFormat="1" ht="18" customHeight="1" thickBot="1" x14ac:dyDescent="0.35">
      <c r="A48" s="1254"/>
      <c r="B48" s="1255"/>
      <c r="C48" s="1256"/>
      <c r="D48" s="1036" t="s">
        <v>1652</v>
      </c>
      <c r="E48" s="284" t="s">
        <v>1662</v>
      </c>
      <c r="F48" s="1037"/>
      <c r="G48" s="1007"/>
      <c r="H48" s="1070"/>
      <c r="I48" s="1079"/>
      <c r="J48" s="1086"/>
      <c r="K48" s="965"/>
      <c r="P48" s="966"/>
      <c r="Q48" s="967"/>
      <c r="R48" s="967"/>
      <c r="S48" s="967"/>
      <c r="T48" s="967"/>
      <c r="U48" s="967"/>
      <c r="V48" s="967"/>
      <c r="W48" s="967"/>
      <c r="X48" s="967"/>
      <c r="Y48" s="967"/>
      <c r="Z48" s="967"/>
      <c r="AA48" s="967"/>
      <c r="AB48" s="967"/>
      <c r="AC48" s="967"/>
      <c r="AD48" s="967"/>
      <c r="AE48" s="967"/>
      <c r="AF48" s="967"/>
      <c r="AG48" s="967"/>
      <c r="AH48" s="967"/>
      <c r="AI48" s="967"/>
      <c r="AJ48" s="967"/>
      <c r="AK48" s="967"/>
      <c r="AL48" s="967"/>
      <c r="AM48" s="967"/>
      <c r="AN48" s="967"/>
      <c r="AO48" s="967"/>
      <c r="AP48" s="967"/>
      <c r="AQ48" s="967"/>
      <c r="AR48" s="967"/>
      <c r="AS48" s="967"/>
      <c r="AT48" s="967"/>
      <c r="AU48" s="967"/>
      <c r="AV48" s="967"/>
      <c r="AW48" s="967"/>
      <c r="AX48" s="967"/>
      <c r="AY48" s="967"/>
      <c r="AZ48" s="967"/>
      <c r="BA48" s="967"/>
      <c r="BB48" s="967"/>
      <c r="BC48" s="967"/>
      <c r="BD48" s="967"/>
      <c r="BE48" s="967"/>
      <c r="BF48" s="967"/>
      <c r="BG48" s="967"/>
      <c r="BH48" s="967"/>
      <c r="BI48" s="967"/>
      <c r="BJ48" s="967"/>
      <c r="BK48" s="967"/>
      <c r="BL48" s="967"/>
      <c r="BM48" s="967"/>
      <c r="BN48" s="967"/>
      <c r="BO48" s="967"/>
      <c r="BP48" s="967"/>
      <c r="BQ48" s="967"/>
      <c r="BR48" s="967"/>
      <c r="BS48" s="967"/>
      <c r="BT48" s="967"/>
      <c r="BU48" s="967"/>
      <c r="BV48" s="967"/>
      <c r="BW48" s="967"/>
      <c r="BX48" s="967"/>
      <c r="BY48" s="967"/>
      <c r="BZ48" s="967"/>
      <c r="CA48" s="967"/>
      <c r="CB48" s="967"/>
      <c r="CC48" s="967"/>
    </row>
    <row r="49" spans="1:81" s="270" customFormat="1" ht="114.75" customHeight="1" thickBot="1" x14ac:dyDescent="0.35">
      <c r="A49" s="1279" t="s">
        <v>1076</v>
      </c>
      <c r="B49" s="1279"/>
      <c r="C49" s="1279"/>
      <c r="D49" s="1044" t="e">
        <f>IF('Electric trans'!F29="No, unit exceeds limit by:","Yes","No")</f>
        <v>#N/A</v>
      </c>
      <c r="E49" s="1047"/>
      <c r="F49" s="1044" t="e">
        <f>+D49</f>
        <v>#N/A</v>
      </c>
      <c r="G49" s="1007"/>
      <c r="H49" s="1060" t="s">
        <v>1675</v>
      </c>
      <c r="I49" s="1079" t="s">
        <v>1123</v>
      </c>
      <c r="J49" s="1081"/>
      <c r="K49" s="965"/>
      <c r="P49" s="966"/>
      <c r="Q49" s="967"/>
      <c r="R49" s="967"/>
      <c r="S49" s="967"/>
      <c r="T49" s="967"/>
      <c r="U49" s="967"/>
      <c r="V49" s="967"/>
      <c r="W49" s="967"/>
      <c r="X49" s="967"/>
      <c r="Y49" s="967"/>
      <c r="Z49" s="967"/>
      <c r="AA49" s="967"/>
      <c r="AB49" s="967"/>
      <c r="AC49" s="967"/>
      <c r="AD49" s="967"/>
      <c r="AE49" s="967"/>
      <c r="AF49" s="967"/>
      <c r="AG49" s="967"/>
      <c r="AH49" s="967"/>
      <c r="AI49" s="967"/>
      <c r="AJ49" s="967"/>
      <c r="AK49" s="967"/>
      <c r="AL49" s="967"/>
      <c r="AM49" s="967"/>
      <c r="AN49" s="967"/>
      <c r="AO49" s="967"/>
      <c r="AP49" s="967"/>
      <c r="AQ49" s="967"/>
      <c r="AR49" s="967"/>
      <c r="AS49" s="967"/>
      <c r="AT49" s="967"/>
      <c r="AU49" s="967"/>
      <c r="AV49" s="967"/>
      <c r="AW49" s="967"/>
      <c r="AX49" s="967"/>
      <c r="AY49" s="967"/>
      <c r="AZ49" s="967"/>
      <c r="BA49" s="967"/>
      <c r="BB49" s="967"/>
      <c r="BC49" s="967"/>
      <c r="BD49" s="967"/>
      <c r="BE49" s="967"/>
      <c r="BF49" s="967"/>
      <c r="BG49" s="967"/>
      <c r="BH49" s="967"/>
      <c r="BI49" s="967"/>
      <c r="BJ49" s="967"/>
      <c r="BK49" s="967"/>
      <c r="BL49" s="967"/>
      <c r="BM49" s="967"/>
      <c r="BN49" s="967"/>
      <c r="BO49" s="967"/>
      <c r="BP49" s="967"/>
      <c r="BQ49" s="967"/>
      <c r="BR49" s="967"/>
      <c r="BS49" s="967"/>
      <c r="BT49" s="967"/>
      <c r="BU49" s="967"/>
      <c r="BV49" s="967"/>
      <c r="BW49" s="967"/>
      <c r="BX49" s="967"/>
      <c r="BY49" s="967"/>
      <c r="BZ49" s="967"/>
      <c r="CA49" s="967"/>
      <c r="CB49" s="967"/>
      <c r="CC49" s="967"/>
    </row>
    <row r="50" spans="1:81" s="270" customFormat="1" ht="18" customHeight="1" thickBot="1" x14ac:dyDescent="0.35">
      <c r="A50" s="1292"/>
      <c r="B50" s="1293"/>
      <c r="C50" s="1294"/>
      <c r="D50" s="1036" t="s">
        <v>1652</v>
      </c>
      <c r="E50" s="284" t="s">
        <v>1662</v>
      </c>
      <c r="F50" s="1045"/>
      <c r="G50" s="1007"/>
      <c r="H50" s="1037"/>
      <c r="I50" s="1083"/>
      <c r="J50" s="1086"/>
      <c r="K50" s="965"/>
      <c r="P50" s="966"/>
      <c r="Q50" s="967"/>
      <c r="R50" s="967"/>
      <c r="S50" s="967"/>
      <c r="T50" s="967"/>
      <c r="U50" s="967"/>
      <c r="V50" s="967"/>
      <c r="W50" s="967"/>
      <c r="X50" s="967"/>
      <c r="Y50" s="967"/>
      <c r="Z50" s="967"/>
      <c r="AA50" s="967"/>
      <c r="AB50" s="967"/>
      <c r="AC50" s="967"/>
      <c r="AD50" s="967"/>
      <c r="AE50" s="967"/>
      <c r="AF50" s="967"/>
      <c r="AG50" s="967"/>
      <c r="AH50" s="967"/>
      <c r="AI50" s="967"/>
      <c r="AJ50" s="967"/>
      <c r="AK50" s="967"/>
      <c r="AL50" s="967"/>
      <c r="AM50" s="967"/>
      <c r="AN50" s="967"/>
      <c r="AO50" s="967"/>
      <c r="AP50" s="967"/>
      <c r="AQ50" s="967"/>
      <c r="AR50" s="967"/>
      <c r="AS50" s="967"/>
      <c r="AT50" s="967"/>
      <c r="AU50" s="967"/>
      <c r="AV50" s="967"/>
      <c r="AW50" s="967"/>
      <c r="AX50" s="967"/>
      <c r="AY50" s="967"/>
      <c r="AZ50" s="967"/>
      <c r="BA50" s="967"/>
      <c r="BB50" s="967"/>
      <c r="BC50" s="967"/>
      <c r="BD50" s="967"/>
      <c r="BE50" s="967"/>
      <c r="BF50" s="967"/>
      <c r="BG50" s="967"/>
      <c r="BH50" s="967"/>
      <c r="BI50" s="967"/>
      <c r="BJ50" s="967"/>
      <c r="BK50" s="967"/>
      <c r="BL50" s="967"/>
      <c r="BM50" s="967"/>
      <c r="BN50" s="967"/>
      <c r="BO50" s="967"/>
      <c r="BP50" s="967"/>
      <c r="BQ50" s="967"/>
      <c r="BR50" s="967"/>
      <c r="BS50" s="967"/>
      <c r="BT50" s="967"/>
      <c r="BU50" s="967"/>
      <c r="BV50" s="967"/>
      <c r="BW50" s="967"/>
      <c r="BX50" s="967"/>
      <c r="BY50" s="967"/>
      <c r="BZ50" s="967"/>
      <c r="CA50" s="967"/>
      <c r="CB50" s="967"/>
      <c r="CC50" s="967"/>
    </row>
    <row r="51" spans="1:81" s="270" customFormat="1" ht="114.75" customHeight="1" thickBot="1" x14ac:dyDescent="0.4">
      <c r="A51" s="1279" t="s">
        <v>1122</v>
      </c>
      <c r="B51" s="1279"/>
      <c r="C51" s="1279"/>
      <c r="D51" s="1034">
        <f>+Import!L254</f>
        <v>0</v>
      </c>
      <c r="E51" s="1047"/>
      <c r="F51" s="1049">
        <f>D51</f>
        <v>0</v>
      </c>
      <c r="G51" s="1007"/>
      <c r="H51" s="1060" t="s">
        <v>1677</v>
      </c>
      <c r="I51" s="1097" t="s">
        <v>1676</v>
      </c>
      <c r="J51" s="1081"/>
      <c r="K51" s="965"/>
      <c r="M51" s="1050" t="e">
        <f>'PI series #'!#REF!</f>
        <v>#REF!</v>
      </c>
      <c r="P51" s="966"/>
      <c r="Q51" s="967"/>
      <c r="R51" s="967"/>
      <c r="S51" s="967"/>
      <c r="T51" s="967"/>
      <c r="U51" s="967"/>
      <c r="V51" s="967"/>
      <c r="W51" s="967"/>
      <c r="X51" s="967"/>
      <c r="Y51" s="967"/>
      <c r="Z51" s="967"/>
      <c r="AA51" s="967"/>
      <c r="AB51" s="967"/>
      <c r="AC51" s="967"/>
      <c r="AD51" s="967"/>
      <c r="AE51" s="967"/>
      <c r="AF51" s="967"/>
      <c r="AG51" s="967"/>
      <c r="AH51" s="967"/>
      <c r="AI51" s="967"/>
      <c r="AJ51" s="967"/>
      <c r="AK51" s="967"/>
      <c r="AL51" s="967"/>
      <c r="AM51" s="967"/>
      <c r="AN51" s="967"/>
      <c r="AO51" s="967"/>
      <c r="AP51" s="967"/>
      <c r="AQ51" s="967"/>
      <c r="AR51" s="967"/>
      <c r="AS51" s="967"/>
      <c r="AT51" s="967"/>
      <c r="AU51" s="967"/>
      <c r="AV51" s="967"/>
      <c r="AW51" s="967"/>
      <c r="AX51" s="967"/>
      <c r="AY51" s="967"/>
      <c r="AZ51" s="967"/>
      <c r="BA51" s="967"/>
      <c r="BB51" s="967"/>
      <c r="BC51" s="967"/>
      <c r="BD51" s="967"/>
      <c r="BE51" s="967"/>
      <c r="BF51" s="967"/>
      <c r="BG51" s="967"/>
      <c r="BH51" s="967"/>
      <c r="BI51" s="967"/>
      <c r="BJ51" s="967"/>
      <c r="BK51" s="967"/>
      <c r="BL51" s="967"/>
      <c r="BM51" s="967"/>
      <c r="BN51" s="967"/>
      <c r="BO51" s="967"/>
      <c r="BP51" s="967"/>
      <c r="BQ51" s="967"/>
      <c r="BR51" s="967"/>
      <c r="BS51" s="967"/>
      <c r="BT51" s="967"/>
      <c r="BU51" s="967"/>
      <c r="BV51" s="967"/>
      <c r="BW51" s="967"/>
      <c r="BX51" s="967"/>
      <c r="BY51" s="967"/>
      <c r="BZ51" s="967"/>
      <c r="CA51" s="967"/>
      <c r="CB51" s="967"/>
      <c r="CC51" s="967"/>
    </row>
    <row r="52" spans="1:81" s="968" customFormat="1" x14ac:dyDescent="0.3">
      <c r="A52" s="1051"/>
      <c r="B52" s="1051"/>
      <c r="C52" s="1051"/>
      <c r="D52" s="1051"/>
      <c r="E52" s="1051"/>
      <c r="F52" s="1051"/>
      <c r="G52" s="1052"/>
      <c r="H52" s="1051"/>
      <c r="I52" s="1056"/>
      <c r="J52" s="1056"/>
      <c r="L52" s="270"/>
      <c r="M52" s="270"/>
      <c r="N52" s="270"/>
      <c r="O52" s="270"/>
      <c r="P52" s="966"/>
      <c r="Q52" s="967"/>
      <c r="R52" s="967"/>
      <c r="S52" s="967"/>
      <c r="T52" s="967"/>
      <c r="U52" s="967"/>
      <c r="V52" s="967"/>
      <c r="W52" s="967"/>
      <c r="X52" s="967"/>
      <c r="Y52" s="967"/>
      <c r="Z52" s="967"/>
      <c r="AA52" s="967"/>
      <c r="AB52" s="967"/>
      <c r="AC52" s="967"/>
      <c r="AD52" s="967"/>
      <c r="AE52" s="967"/>
      <c r="AF52" s="967"/>
      <c r="AG52" s="967"/>
      <c r="AH52" s="967"/>
      <c r="AI52" s="967"/>
      <c r="AJ52" s="967"/>
      <c r="AK52" s="967"/>
      <c r="AL52" s="967"/>
      <c r="AM52" s="967"/>
      <c r="AN52" s="967"/>
      <c r="AO52" s="967"/>
      <c r="AP52" s="967"/>
      <c r="AQ52" s="967"/>
      <c r="AR52" s="967"/>
      <c r="AS52" s="967"/>
      <c r="AT52" s="967"/>
      <c r="AU52" s="967"/>
      <c r="AV52" s="967"/>
      <c r="AW52" s="967"/>
      <c r="AX52" s="967"/>
      <c r="AY52" s="967"/>
      <c r="AZ52" s="967"/>
      <c r="BA52" s="967"/>
      <c r="BB52" s="967"/>
      <c r="BC52" s="967"/>
      <c r="BD52" s="967"/>
      <c r="BE52" s="967"/>
      <c r="BF52" s="967"/>
      <c r="BG52" s="967"/>
      <c r="BH52" s="967"/>
      <c r="BI52" s="967"/>
      <c r="BJ52" s="967"/>
      <c r="BK52" s="967"/>
      <c r="BL52" s="967"/>
      <c r="BM52" s="967"/>
      <c r="BN52" s="967"/>
      <c r="BO52" s="967"/>
      <c r="BP52" s="967"/>
      <c r="BQ52" s="967"/>
      <c r="BR52" s="967"/>
      <c r="BS52" s="967"/>
      <c r="BT52" s="967"/>
      <c r="BU52" s="967"/>
      <c r="BV52" s="967"/>
      <c r="BW52" s="967"/>
      <c r="BX52" s="967"/>
      <c r="BY52" s="967"/>
      <c r="BZ52" s="967"/>
      <c r="CA52" s="967"/>
      <c r="CB52" s="967"/>
      <c r="CC52" s="967"/>
    </row>
  </sheetData>
  <mergeCells count="44">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1:H1"/>
    <mergeCell ref="A2:H2"/>
    <mergeCell ref="G3:H3"/>
    <mergeCell ref="B4:D4"/>
    <mergeCell ref="E4:F5"/>
    <mergeCell ref="H4:H5"/>
    <mergeCell ref="B5:D5"/>
  </mergeCells>
  <conditionalFormatting sqref="F14">
    <cfRule type="cellIs" dxfId="36" priority="28" operator="lessThan">
      <formula>1</formula>
    </cfRule>
  </conditionalFormatting>
  <conditionalFormatting sqref="F16">
    <cfRule type="cellIs" dxfId="35" priority="27" operator="lessThan">
      <formula>0</formula>
    </cfRule>
  </conditionalFormatting>
  <conditionalFormatting sqref="F17">
    <cfRule type="cellIs" dxfId="34" priority="26" operator="lessThan">
      <formula>0.16</formula>
    </cfRule>
  </conditionalFormatting>
  <conditionalFormatting sqref="F21">
    <cfRule type="cellIs" dxfId="33" priority="25" operator="lessThan">
      <formula>1</formula>
    </cfRule>
  </conditionalFormatting>
  <conditionalFormatting sqref="F23">
    <cfRule type="cellIs" dxfId="32" priority="24" operator="lessThan">
      <formula>0</formula>
    </cfRule>
  </conditionalFormatting>
  <conditionalFormatting sqref="F24">
    <cfRule type="cellIs" dxfId="31" priority="23" operator="lessThan">
      <formula>0.16</formula>
    </cfRule>
  </conditionalFormatting>
  <conditionalFormatting sqref="F29">
    <cfRule type="cellIs" dxfId="30" priority="22" operator="equal">
      <formula>"No"</formula>
    </cfRule>
  </conditionalFormatting>
  <conditionalFormatting sqref="F31">
    <cfRule type="cellIs" dxfId="29" priority="21" operator="lessThan">
      <formula>-0.03</formula>
    </cfRule>
  </conditionalFormatting>
  <conditionalFormatting sqref="F37">
    <cfRule type="cellIs" dxfId="28" priority="13" operator="equal">
      <formula>"Yes"</formula>
    </cfRule>
  </conditionalFormatting>
  <conditionalFormatting sqref="F39">
    <cfRule type="cellIs" dxfId="27" priority="20" operator="equal">
      <formula>"Yes"</formula>
    </cfRule>
  </conditionalFormatting>
  <conditionalFormatting sqref="F41">
    <cfRule type="cellIs" dxfId="26" priority="19" operator="equal">
      <formula>"Yes"</formula>
    </cfRule>
  </conditionalFormatting>
  <conditionalFormatting sqref="F43">
    <cfRule type="cellIs" dxfId="25" priority="18" operator="equal">
      <formula>"Yes"</formula>
    </cfRule>
  </conditionalFormatting>
  <conditionalFormatting sqref="F35">
    <cfRule type="cellIs" dxfId="24" priority="17" operator="equal">
      <formula>"No"</formula>
    </cfRule>
  </conditionalFormatting>
  <conditionalFormatting sqref="F50">
    <cfRule type="cellIs" dxfId="23" priority="15" operator="equal">
      <formula>"Yes"</formula>
    </cfRule>
  </conditionalFormatting>
  <conditionalFormatting sqref="F49">
    <cfRule type="cellIs" dxfId="22" priority="14" operator="equal">
      <formula>"Yes"</formula>
    </cfRule>
  </conditionalFormatting>
  <conditionalFormatting sqref="F45">
    <cfRule type="cellIs" dxfId="21" priority="12" operator="equal">
      <formula>"No"</formula>
    </cfRule>
  </conditionalFormatting>
  <conditionalFormatting sqref="F33">
    <cfRule type="cellIs" dxfId="20" priority="11" operator="equal">
      <formula>"Decrease"</formula>
    </cfRule>
  </conditionalFormatting>
  <conditionalFormatting sqref="F47">
    <cfRule type="expression" dxfId="19" priority="10">
      <formula>$D$47&gt;0</formula>
    </cfRule>
  </conditionalFormatting>
  <conditionalFormatting sqref="F51">
    <cfRule type="expression" dxfId="18" priority="9">
      <formula>M51&gt;0</formula>
    </cfRule>
  </conditionalFormatting>
  <conditionalFormatting sqref="F9">
    <cfRule type="expression" dxfId="17" priority="3">
      <formula>F9-L8&lt;0</formula>
    </cfRule>
  </conditionalFormatting>
  <conditionalFormatting sqref="F26">
    <cfRule type="cellIs" dxfId="16" priority="8" operator="lessThan">
      <formula>1</formula>
    </cfRule>
  </conditionalFormatting>
  <conditionalFormatting sqref="F10">
    <cfRule type="expression" dxfId="15" priority="7">
      <formula>$L$10&lt;0%</formula>
    </cfRule>
  </conditionalFormatting>
  <conditionalFormatting sqref="F11">
    <cfRule type="expression" dxfId="14" priority="5">
      <formula>$L$11&lt;8%</formula>
    </cfRule>
  </conditionalFormatting>
  <conditionalFormatting sqref="F12">
    <cfRule type="cellIs" dxfId="13" priority="2" operator="lessThan">
      <formula>0</formula>
    </cfRule>
  </conditionalFormatting>
  <conditionalFormatting sqref="F18">
    <cfRule type="expression" dxfId="12" priority="1">
      <formula>D18="Yes"</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pane="bottomLeft" activeCell="D6" sqref="D6"/>
    </sheetView>
  </sheetViews>
  <sheetFormatPr defaultColWidth="9.109375" defaultRowHeight="14.4" x14ac:dyDescent="0.3"/>
  <cols>
    <col min="1" max="1" width="44.5546875" style="503" customWidth="1"/>
    <col min="2" max="2" width="17.33203125" style="503" customWidth="1"/>
    <col min="3" max="3" width="17.88671875" style="503" customWidth="1"/>
    <col min="4" max="4" width="20.88671875" style="503" customWidth="1"/>
    <col min="5" max="5" width="16.109375" style="503" customWidth="1"/>
    <col min="6" max="6" width="14.88671875" style="503" customWidth="1"/>
    <col min="7" max="7" width="46.109375" style="510" customWidth="1"/>
    <col min="8" max="8" width="77.5546875" style="503" customWidth="1"/>
    <col min="9" max="9" width="34" style="503" customWidth="1"/>
    <col min="10" max="10" width="9.109375" style="503" customWidth="1"/>
    <col min="11" max="11" width="36.88671875" style="503" customWidth="1"/>
    <col min="12" max="12" width="15" style="503" customWidth="1"/>
    <col min="13" max="13" width="11.88671875" style="503" customWidth="1"/>
    <col min="14" max="24" width="9.109375" style="503" customWidth="1"/>
    <col min="25" max="25" width="9.109375" style="296" customWidth="1"/>
    <col min="26" max="26" width="36.88671875" style="561" hidden="1" customWidth="1"/>
    <col min="27" max="16384" width="9.109375" style="503"/>
  </cols>
  <sheetData>
    <row r="1" spans="1:78" x14ac:dyDescent="0.3">
      <c r="A1" s="504" t="s">
        <v>1043</v>
      </c>
      <c r="B1" s="505"/>
      <c r="C1" s="505"/>
      <c r="D1" s="505"/>
      <c r="E1" s="506" t="s">
        <v>1044</v>
      </c>
      <c r="F1" s="506">
        <v>2021</v>
      </c>
      <c r="G1" s="1299"/>
      <c r="H1" s="1300"/>
      <c r="I1" s="507"/>
      <c r="Z1" s="554" t="s">
        <v>1330</v>
      </c>
    </row>
    <row r="2" spans="1:78" ht="98.25" customHeight="1" x14ac:dyDescent="0.3">
      <c r="A2" s="508" t="s">
        <v>1126</v>
      </c>
      <c r="B2" s="1301" t="str">
        <f>'Unit Data from Audit Worksheet'!D2</f>
        <v>Select Unit Name from Drop Down List</v>
      </c>
      <c r="C2" s="1301"/>
      <c r="D2" s="1301"/>
      <c r="E2" s="1305" t="s">
        <v>1574</v>
      </c>
      <c r="F2" s="1305"/>
      <c r="G2" s="1305"/>
      <c r="H2" s="1302" t="s">
        <v>1337</v>
      </c>
      <c r="I2" s="509"/>
      <c r="J2" s="510"/>
      <c r="K2" s="511"/>
      <c r="Z2" s="162"/>
    </row>
    <row r="3" spans="1:78" ht="38.25" customHeight="1" x14ac:dyDescent="0.3">
      <c r="A3" s="512" t="s">
        <v>1045</v>
      </c>
      <c r="B3" s="1304" t="e">
        <f>'Unit Data from Audit Worksheet'!D3</f>
        <v>#N/A</v>
      </c>
      <c r="C3" s="1304"/>
      <c r="D3" s="1304"/>
      <c r="E3" s="1306"/>
      <c r="F3" s="1306"/>
      <c r="G3" s="1306"/>
      <c r="H3" s="1303"/>
      <c r="I3" s="507"/>
      <c r="K3" s="513" t="s">
        <v>1084</v>
      </c>
      <c r="Z3" s="162"/>
    </row>
    <row r="4" spans="1:78" ht="106.5" customHeight="1" x14ac:dyDescent="0.3">
      <c r="A4" s="568"/>
      <c r="B4" s="569">
        <v>2019</v>
      </c>
      <c r="C4" s="569">
        <v>2020</v>
      </c>
      <c r="D4" s="569">
        <v>2021</v>
      </c>
      <c r="E4" s="570" t="s">
        <v>1335</v>
      </c>
      <c r="F4" s="569" t="s">
        <v>1050</v>
      </c>
      <c r="G4" s="571"/>
      <c r="H4" s="569" t="s">
        <v>1046</v>
      </c>
      <c r="I4" s="570" t="s">
        <v>1374</v>
      </c>
      <c r="J4" s="514"/>
      <c r="Z4" s="162"/>
    </row>
    <row r="5" spans="1:78" x14ac:dyDescent="0.3">
      <c r="A5" s="564" t="s">
        <v>723</v>
      </c>
      <c r="B5" s="565"/>
      <c r="C5" s="565"/>
      <c r="D5" s="565"/>
      <c r="E5" s="566"/>
      <c r="F5" s="563"/>
      <c r="G5" s="566"/>
      <c r="H5" s="565"/>
      <c r="I5" s="567"/>
      <c r="J5" s="514"/>
      <c r="K5" s="516">
        <f>+(Import!$L$72+Import!$L$77+Import!$L$74-Import!$L$75-Import!$L$76)</f>
        <v>0</v>
      </c>
      <c r="L5" s="503" t="s">
        <v>1135</v>
      </c>
      <c r="Z5" s="556"/>
    </row>
    <row r="6" spans="1:78" ht="143.25" customHeight="1" x14ac:dyDescent="0.3">
      <c r="A6" s="395" t="s">
        <v>869</v>
      </c>
      <c r="B6" s="391" t="e">
        <f>HLOOKUP($B$3,'2019 Data(H)'!$E$2:$CQ$299,291,FALSE)</f>
        <v>#N/A</v>
      </c>
      <c r="C6" s="391" t="e">
        <f>HLOOKUP($B$2,'2020 Data(H)'!$E$1:$CR$393,339,FALSE)</f>
        <v>#N/A</v>
      </c>
      <c r="D6" s="391" t="str">
        <f>IFERROR((Import!$L$52+Import!$L$53-Import!$L$57-Import!$L$58-Import!$L$230-Import!$L$62+Import!$L$89)/(Import!$L$72+Import!$L$77+Import!$L$74-Import!$L$75-Import!$L$76),"")</f>
        <v/>
      </c>
      <c r="E6" s="541" t="b">
        <f>IF(K5&gt;10000000,"25% -- Average of similar units is 46%",IF(K5&gt;999999,"34% -- Average of similar units is 63%",IF(K5&gt;99999,"71% -- Average of similar units is 132%",IF(K5&gt;1,"100 %-- Average of similar units is 260%"))))</f>
        <v>0</v>
      </c>
      <c r="F6" s="939"/>
      <c r="G6" s="948" t="s">
        <v>1536</v>
      </c>
      <c r="H6" s="928" t="s">
        <v>1575</v>
      </c>
      <c r="I6" s="540"/>
      <c r="J6" s="514"/>
      <c r="K6" s="517" t="b">
        <f>IF($K$5&gt;10000000,"25%",IF($K$5&gt;999999,"34%",IF($K$5&gt;99999,"71%",IF($K$5&gt;1,"100%"))))</f>
        <v>0</v>
      </c>
      <c r="L6" s="518" t="e">
        <f>+D6-K6</f>
        <v>#VALUE!</v>
      </c>
      <c r="Z6" s="162" t="s">
        <v>1331</v>
      </c>
    </row>
    <row r="7" spans="1:78" ht="22.5" customHeight="1" x14ac:dyDescent="0.3">
      <c r="A7" s="395"/>
      <c r="B7" s="393"/>
      <c r="C7" s="393"/>
      <c r="D7" s="393"/>
      <c r="E7" s="541"/>
      <c r="F7" s="394"/>
      <c r="G7" s="539"/>
      <c r="H7" s="537"/>
      <c r="I7" s="957"/>
      <c r="J7" s="514"/>
      <c r="K7" s="542"/>
      <c r="L7" s="518"/>
      <c r="Z7" s="162"/>
    </row>
    <row r="8" spans="1:78" ht="137.25" customHeight="1" x14ac:dyDescent="0.3">
      <c r="A8" s="937" t="s">
        <v>1581</v>
      </c>
      <c r="B8" s="938" t="e">
        <f>HLOOKUP($B$3,'2019 Data(H)'!$E$2:$CQ$299,291,FALSE)</f>
        <v>#N/A</v>
      </c>
      <c r="C8" s="938" t="e">
        <f>HLOOKUP($B$2,'2020 Data(H)'!$E$1:$CR$393,339,FALSE)</f>
        <v>#N/A</v>
      </c>
      <c r="D8" s="938" t="str">
        <f>IFERROR((Import!$L$52+Import!$L$53-Import!$L$57-Import!$L$58-Import!$L$230-Import!$L$62+Import!$L$89)/(Import!$L$72+Import!$L$77+Import!$L$74-Import!$L$75-Import!$L$76),"")</f>
        <v/>
      </c>
      <c r="E8" s="954" t="str">
        <f>IF($K$5&gt;99999999,"16%--Median of simiar units is 32%","20%--Median of similar units is 39%")</f>
        <v>20%--Median of similar units is 39%</v>
      </c>
      <c r="F8" s="939"/>
      <c r="G8" s="949" t="s">
        <v>1051</v>
      </c>
      <c r="H8" s="950" t="s">
        <v>1302</v>
      </c>
      <c r="I8" s="940"/>
      <c r="J8" s="514"/>
      <c r="K8" s="557">
        <f>IF($K$5&gt;99999999,16%,20%)</f>
        <v>0.2</v>
      </c>
      <c r="L8" s="518" t="e">
        <f>+D8-K8</f>
        <v>#VALUE!</v>
      </c>
      <c r="Z8" s="162" t="s">
        <v>1537</v>
      </c>
    </row>
    <row r="9" spans="1:78" ht="120" customHeight="1" x14ac:dyDescent="0.3">
      <c r="A9" s="936" t="s">
        <v>1583</v>
      </c>
      <c r="B9" s="938" t="e">
        <f>HLOOKUP($B$3,'2019 Data(H)'!$E$2:$CQ$299,291,FALSE)</f>
        <v>#N/A</v>
      </c>
      <c r="C9" s="938" t="e">
        <f>HLOOKUP($B$2,'2020 Data(H)'!$E$1:$CR$393,339,FALSE)</f>
        <v>#N/A</v>
      </c>
      <c r="D9" s="938" t="str">
        <f>IFERROR((Import!$L$52+Import!$L$53-Import!$L$57-Import!$L$58-Import!$L$230-Import!$L$62+Import!$L$89)/(Import!$L$72+Import!$L$77+Import!$L$74-Import!$L$75-Import!$L$76),"")</f>
        <v/>
      </c>
      <c r="E9" s="954">
        <v>0.08</v>
      </c>
      <c r="F9" s="939" t="str">
        <f>+K9</f>
        <v/>
      </c>
      <c r="G9" s="949" t="s">
        <v>1051</v>
      </c>
      <c r="H9" s="950" t="s">
        <v>1579</v>
      </c>
      <c r="I9" s="536"/>
      <c r="J9" s="514"/>
      <c r="K9" s="938" t="str">
        <f>+IF(D9&gt;7.9999%,D9,"Less than 8%")</f>
        <v/>
      </c>
      <c r="L9" s="518"/>
      <c r="Z9" s="162"/>
    </row>
    <row r="10" spans="1:78" ht="152.25" customHeight="1" thickBot="1" x14ac:dyDescent="0.35">
      <c r="A10" s="936" t="s">
        <v>1078</v>
      </c>
      <c r="B10" s="568"/>
      <c r="C10" s="568"/>
      <c r="D10" s="941">
        <f>+Import!L65</f>
        <v>0</v>
      </c>
      <c r="E10" s="942"/>
      <c r="F10" s="941">
        <f>+D10</f>
        <v>0</v>
      </c>
      <c r="G10" s="547" t="s">
        <v>1079</v>
      </c>
      <c r="H10" s="547" t="s">
        <v>1304</v>
      </c>
      <c r="I10" s="535"/>
      <c r="J10" s="514"/>
      <c r="Z10" s="162" t="s">
        <v>1538</v>
      </c>
    </row>
    <row r="11" spans="1:78" ht="78" customHeight="1" x14ac:dyDescent="0.3">
      <c r="A11" s="555" t="s">
        <v>725</v>
      </c>
      <c r="B11" s="289">
        <f>+B4</f>
        <v>2019</v>
      </c>
      <c r="C11" s="289">
        <f>+C4</f>
        <v>2020</v>
      </c>
      <c r="D11" s="289">
        <f>+D4</f>
        <v>2021</v>
      </c>
      <c r="E11" s="522"/>
      <c r="F11" s="523"/>
      <c r="G11" s="1307" t="s">
        <v>1336</v>
      </c>
      <c r="H11" s="1308"/>
      <c r="I11" s="538"/>
      <c r="J11" s="514"/>
      <c r="K11" s="524" t="e">
        <f>HLOOKUP($B$3,'2019 Data(H)'!$E$2:$CQ$305,244,FALSE)</f>
        <v>#N/A</v>
      </c>
      <c r="L11" s="524" t="e">
        <f>HLOOKUP(B3,'2020 Data(H)'!E2:CR350,244,FALSE)</f>
        <v>#N/A</v>
      </c>
      <c r="M11" s="524" t="e">
        <f>Import!L268</f>
        <v>#N/A</v>
      </c>
      <c r="N11" s="525"/>
      <c r="O11" s="525"/>
      <c r="P11" s="525"/>
      <c r="Q11" s="525"/>
      <c r="R11" s="525"/>
      <c r="S11" s="525"/>
      <c r="T11" s="525"/>
      <c r="U11" s="525"/>
      <c r="V11" s="525"/>
      <c r="W11" s="525"/>
      <c r="X11" s="525"/>
      <c r="Z11" s="162"/>
      <c r="AA11" s="525"/>
      <c r="AB11" s="525"/>
      <c r="AC11" s="525"/>
      <c r="AD11" s="525"/>
      <c r="AE11" s="525"/>
      <c r="AF11" s="525"/>
      <c r="AG11" s="525"/>
      <c r="AH11" s="525"/>
      <c r="AI11" s="525"/>
      <c r="AJ11" s="525"/>
      <c r="AK11" s="525"/>
      <c r="AL11" s="525"/>
      <c r="AM11" s="525"/>
      <c r="AN11" s="525"/>
      <c r="AO11" s="525"/>
      <c r="AP11" s="525"/>
      <c r="AQ11" s="525"/>
      <c r="AR11" s="525"/>
      <c r="AS11" s="525"/>
      <c r="AT11" s="525"/>
      <c r="AU11" s="525"/>
      <c r="AV11" s="525"/>
      <c r="AW11" s="525"/>
      <c r="AX11" s="525"/>
      <c r="AY11" s="525"/>
      <c r="AZ11" s="525"/>
      <c r="BA11" s="525"/>
      <c r="BB11" s="525"/>
      <c r="BC11" s="525"/>
      <c r="BD11" s="525"/>
      <c r="BE11" s="525"/>
      <c r="BF11" s="525"/>
      <c r="BG11" s="525"/>
      <c r="BH11" s="525"/>
      <c r="BI11" s="525"/>
      <c r="BJ11" s="525"/>
      <c r="BK11" s="525"/>
      <c r="BL11" s="525"/>
      <c r="BM11" s="525"/>
      <c r="BN11" s="525"/>
      <c r="BO11" s="525"/>
      <c r="BP11" s="525"/>
      <c r="BQ11" s="525"/>
      <c r="BR11" s="525"/>
      <c r="BS11" s="525"/>
      <c r="BT11" s="525"/>
      <c r="BU11" s="525"/>
      <c r="BV11" s="525"/>
      <c r="BW11" s="525"/>
      <c r="BX11" s="525"/>
      <c r="BY11" s="525"/>
      <c r="BZ11" s="525"/>
    </row>
    <row r="12" spans="1:78" ht="119.4" customHeight="1" x14ac:dyDescent="0.3">
      <c r="A12" s="399" t="s">
        <v>722</v>
      </c>
      <c r="B12" s="545" t="e">
        <f>IF(K11=0,"Not Applicable",(K12))</f>
        <v>#N/A</v>
      </c>
      <c r="C12" s="545" t="e">
        <f>IF(L11=0,"Not Applicable",(L12))</f>
        <v>#N/A</v>
      </c>
      <c r="D12" s="545" t="e">
        <f>IF(M11=0,"Not Applicable",M12)</f>
        <v>#N/A</v>
      </c>
      <c r="E12" s="546" t="s">
        <v>1047</v>
      </c>
      <c r="F12" s="931" t="str">
        <f>M12</f>
        <v/>
      </c>
      <c r="G12" s="546" t="s">
        <v>1052</v>
      </c>
      <c r="H12" s="547" t="s">
        <v>1081</v>
      </c>
      <c r="I12" s="540"/>
      <c r="J12" s="514"/>
      <c r="K12" s="524" t="e">
        <f>HLOOKUP($B$3,'2019 Data(H)'!$E$2:$CQ$305,299,FALSE)</f>
        <v>#N/A</v>
      </c>
      <c r="L12" s="524" t="e">
        <f>HLOOKUP(B2,'2020 Data(H)'!E1:BT393,347,FALSE)</f>
        <v>#N/A</v>
      </c>
      <c r="M12" s="526" t="str">
        <f>IFERROR((Import!$L$120-Import!$L$121-Import!$L$118-Import!$L$119)/(Import!$L$124-Import!$L$125-Import!$L$126-Import!$L$127-Import!$L$128-Import!$L$129-Import!$L$123),"")</f>
        <v/>
      </c>
      <c r="Z12" s="162" t="s">
        <v>1332</v>
      </c>
    </row>
    <row r="13" spans="1:78" ht="69.599999999999994" customHeight="1" x14ac:dyDescent="0.3">
      <c r="A13" s="399" t="s">
        <v>1089</v>
      </c>
      <c r="B13" s="548" t="e">
        <f>IF(K11=0,"Not Applicable",K13)</f>
        <v>#N/A</v>
      </c>
      <c r="C13" s="397" t="e">
        <f>IF(L11=0,"Not Applicable",L13)</f>
        <v>#N/A</v>
      </c>
      <c r="D13" s="549" t="e">
        <f>IF(M11=0,"Not Applicable",M13)</f>
        <v>#N/A</v>
      </c>
      <c r="E13" s="546" t="s">
        <v>1340</v>
      </c>
      <c r="F13" s="932" t="e">
        <f>D13</f>
        <v>#N/A</v>
      </c>
      <c r="G13" s="546" t="s">
        <v>1685</v>
      </c>
      <c r="H13" s="547" t="s">
        <v>1082</v>
      </c>
      <c r="I13" s="540"/>
      <c r="J13" s="514"/>
      <c r="K13" s="268" t="e">
        <f>HLOOKUP(B3,'2019 Data(H)'!E2:BS305,300,FALSE)</f>
        <v>#N/A</v>
      </c>
      <c r="L13" s="268" t="e">
        <f>HLOOKUP(B2,'2020 Data(H)'!F1:CR393,348,FALSE)</f>
        <v>#N/A</v>
      </c>
      <c r="M13" s="924">
        <f>+Import!$L$153-Import!$L$155+Import!$L$154-Import!$L$182</f>
        <v>0</v>
      </c>
      <c r="Z13" s="162" t="s">
        <v>1332</v>
      </c>
    </row>
    <row r="14" spans="1:78" ht="109.95" customHeight="1" x14ac:dyDescent="0.3">
      <c r="A14" s="399" t="s">
        <v>1116</v>
      </c>
      <c r="B14" s="398" t="e">
        <f>IF(K11=0,"Not Applicable",K14)</f>
        <v>#N/A</v>
      </c>
      <c r="C14" s="398" t="e">
        <f>IF(L11=0,"Not Applicable",L14)</f>
        <v>#N/A</v>
      </c>
      <c r="D14" s="398" t="e">
        <f>IF(M11=0,"Not Applicable",M14)</f>
        <v>#N/A</v>
      </c>
      <c r="E14" s="546" t="s">
        <v>1571</v>
      </c>
      <c r="F14" s="392" t="e">
        <f>D14</f>
        <v>#N/A</v>
      </c>
      <c r="G14" s="546" t="s">
        <v>1093</v>
      </c>
      <c r="H14" s="547" t="s">
        <v>1303</v>
      </c>
      <c r="I14" s="540"/>
      <c r="J14" s="514"/>
      <c r="K14" s="269" t="e">
        <f>HLOOKUP(B3,'2019 Data(H)'!E2:CQ305,301,FALSE)</f>
        <v>#N/A</v>
      </c>
      <c r="L14" s="269" t="e">
        <f>HLOOKUP(B2,'2020 Data(H)'!F1:CR393,349,FALSE)</f>
        <v>#N/A</v>
      </c>
      <c r="M14" s="269" t="str">
        <f>IFERROR(Import!L116/(Import!L155+Import!L158-Import!L154+Import!L182),"")</f>
        <v/>
      </c>
      <c r="Z14" s="162" t="s">
        <v>1332</v>
      </c>
    </row>
    <row r="15" spans="1:78" ht="99.75" customHeight="1" thickBot="1" x14ac:dyDescent="0.35">
      <c r="A15" s="1297" t="s">
        <v>1572</v>
      </c>
      <c r="B15" s="1298"/>
      <c r="C15" s="1298"/>
      <c r="D15" s="925" t="str">
        <f>IF(K15&lt;0,"Yes","No")</f>
        <v>No</v>
      </c>
      <c r="E15" s="956"/>
      <c r="F15" s="926" t="str">
        <f>D15</f>
        <v>No</v>
      </c>
      <c r="G15" s="543" t="s">
        <v>1573</v>
      </c>
      <c r="H15" s="550" t="s">
        <v>1083</v>
      </c>
      <c r="I15" s="544"/>
      <c r="J15" s="514"/>
      <c r="K15" s="288">
        <f>((Import!L158+Import!L155)*0.03)-Import!L161</f>
        <v>0</v>
      </c>
      <c r="Z15" s="162" t="s">
        <v>1332</v>
      </c>
    </row>
    <row r="16" spans="1:78" ht="37.5" customHeight="1" thickBot="1" x14ac:dyDescent="0.35">
      <c r="A16" s="287"/>
      <c r="B16" s="519"/>
      <c r="C16" s="519"/>
      <c r="D16" s="519"/>
      <c r="E16" s="520"/>
      <c r="F16" s="519"/>
      <c r="G16" s="521"/>
      <c r="H16" s="519"/>
      <c r="I16" s="519"/>
      <c r="Z16" s="558"/>
    </row>
    <row r="17" spans="1:26" ht="116.25" customHeight="1" thickBot="1" x14ac:dyDescent="0.35">
      <c r="A17" s="515" t="s">
        <v>724</v>
      </c>
      <c r="B17" s="290">
        <f>+B4</f>
        <v>2019</v>
      </c>
      <c r="C17" s="290">
        <f>+C4</f>
        <v>2020</v>
      </c>
      <c r="D17" s="290">
        <f>+D4</f>
        <v>2021</v>
      </c>
      <c r="E17" s="527"/>
      <c r="F17" s="528"/>
      <c r="G17" s="562" t="s">
        <v>1115</v>
      </c>
      <c r="H17" s="929" t="s">
        <v>1080</v>
      </c>
      <c r="I17" s="529"/>
      <c r="J17" s="514"/>
      <c r="K17" s="524" t="e">
        <f>HLOOKUP(B3,'2019 Data(H)'!E2:CQ310,243,FALSE)</f>
        <v>#N/A</v>
      </c>
      <c r="L17" s="271" t="e">
        <f>HLOOKUP(B3,'2020 Data(H)'!E2:CR350,243,FALSE)</f>
        <v>#N/A</v>
      </c>
      <c r="M17" s="530" t="e">
        <f>+Import!L267</f>
        <v>#N/A</v>
      </c>
      <c r="Z17" s="556"/>
    </row>
    <row r="18" spans="1:26" ht="78" customHeight="1" x14ac:dyDescent="0.3">
      <c r="A18" s="291" t="s">
        <v>722</v>
      </c>
      <c r="B18" s="531" t="e">
        <f>IF(K17=0,"Not Applicable",K18)</f>
        <v>#N/A</v>
      </c>
      <c r="C18" s="531" t="e">
        <f>IF(L17=0,"Not Applicable",L18)</f>
        <v>#N/A</v>
      </c>
      <c r="D18" s="531" t="e">
        <f>IF(M17=0,"Not Applicable",M18)</f>
        <v>#N/A</v>
      </c>
      <c r="E18" s="546" t="s">
        <v>1047</v>
      </c>
      <c r="F18" s="933" t="str">
        <f>+M18</f>
        <v/>
      </c>
      <c r="G18" s="944" t="s">
        <v>1100</v>
      </c>
      <c r="H18" s="945" t="s">
        <v>1081</v>
      </c>
      <c r="I18" s="540"/>
      <c r="J18" s="514"/>
      <c r="K18" s="271" t="e">
        <f>HLOOKUP(B3,'2019 Data(H)'!E2:CQ310,302,FALSE)</f>
        <v>#N/A</v>
      </c>
      <c r="L18" s="524" t="e">
        <f>HLOOKUP(B2,'2020 Data(H)'!F1:CR393,350,FALSE)</f>
        <v>#N/A</v>
      </c>
      <c r="M18" s="524" t="str">
        <f>IFERROR((Import!L138-Import!L139-Import!L137-Import!L136)/(Import!L143-Import!L144-Import!L145-Import!L146-Import!L147-Import!L148-Import!L142),"")</f>
        <v/>
      </c>
      <c r="Z18" s="559" t="s">
        <v>1333</v>
      </c>
    </row>
    <row r="19" spans="1:26" ht="60.75" customHeight="1" x14ac:dyDescent="0.3">
      <c r="A19" s="285" t="s">
        <v>1089</v>
      </c>
      <c r="B19" s="379" t="e">
        <f>IF(K17=0,"Not Applicable",K19)</f>
        <v>#N/A</v>
      </c>
      <c r="C19" s="379" t="e">
        <f>IF(L17=0,"Not Applicable",L19)</f>
        <v>#N/A</v>
      </c>
      <c r="D19" s="379" t="e">
        <f>IF(M17=0,"Not Applicable",M19)</f>
        <v>#N/A</v>
      </c>
      <c r="E19" s="546" t="s">
        <v>1340</v>
      </c>
      <c r="F19" s="934" t="e">
        <f>D19</f>
        <v>#N/A</v>
      </c>
      <c r="G19" s="944" t="s">
        <v>1686</v>
      </c>
      <c r="H19" s="945" t="s">
        <v>1082</v>
      </c>
      <c r="I19" s="540"/>
      <c r="J19" s="514"/>
      <c r="K19" s="268" t="e">
        <f>HLOOKUP(B3,'2019 Data(H)'!E2:CQ310,303,FALSE)</f>
        <v>#N/A</v>
      </c>
      <c r="L19" s="268" t="e">
        <f>HLOOKUP(B2,'2020 Data(H)'!F1:CR393,351,FALSE)</f>
        <v>#N/A</v>
      </c>
      <c r="M19" s="268">
        <f>+Import!L168-Import!L171+Import!L170-Import!L185</f>
        <v>0</v>
      </c>
      <c r="Z19" s="559" t="s">
        <v>1333</v>
      </c>
    </row>
    <row r="20" spans="1:26" ht="88.5" customHeight="1" thickBot="1" x14ac:dyDescent="0.35">
      <c r="A20" s="292" t="s">
        <v>1116</v>
      </c>
      <c r="B20" s="380" t="e">
        <f>IF(K17=0,"Not Applicable",K20)</f>
        <v>#N/A</v>
      </c>
      <c r="C20" s="380" t="e">
        <f>IF(L17=0,"Not Applicable",L20)</f>
        <v>#N/A</v>
      </c>
      <c r="D20" s="380" t="e">
        <f>IF(M17=0,"Not Applicable",M20)</f>
        <v>#N/A</v>
      </c>
      <c r="E20" s="955" t="s">
        <v>1571</v>
      </c>
      <c r="F20" s="935" t="str">
        <f>+M20</f>
        <v/>
      </c>
      <c r="G20" s="947" t="s">
        <v>1105</v>
      </c>
      <c r="H20" s="946" t="s">
        <v>1303</v>
      </c>
      <c r="I20" s="544"/>
      <c r="J20" s="514"/>
      <c r="K20" s="269" t="e">
        <f>HLOOKUP(B3,'2019 Data(H)'!E2:CQ310,304,FALSE)</f>
        <v>#N/A</v>
      </c>
      <c r="L20" s="269" t="e">
        <f>HLOOKUP(B2,'2020 Data(H)'!F1:CR393,352,FALSE)</f>
        <v>#N/A</v>
      </c>
      <c r="M20" s="269" t="str">
        <f>IFERROR(Import!L134/(Import!L174+Import!L171-Import!L170+Import!L185),"")</f>
        <v/>
      </c>
      <c r="Z20" s="559" t="s">
        <v>1333</v>
      </c>
    </row>
    <row r="21" spans="1:26" ht="15.75" customHeight="1" x14ac:dyDescent="0.3">
      <c r="A21" s="400"/>
      <c r="B21" s="401"/>
      <c r="C21" s="401"/>
      <c r="D21" s="401"/>
      <c r="E21" s="551"/>
      <c r="F21" s="552"/>
      <c r="G21" s="553"/>
      <c r="H21" s="553"/>
      <c r="I21" s="952"/>
      <c r="J21" s="514"/>
      <c r="K21" s="269"/>
      <c r="L21" s="269"/>
      <c r="M21" s="269"/>
      <c r="Z21" s="559"/>
    </row>
    <row r="22" spans="1:26" ht="50.25" customHeight="1" x14ac:dyDescent="0.3">
      <c r="A22" s="953" t="s">
        <v>1338</v>
      </c>
      <c r="B22" s="401"/>
      <c r="C22" s="401"/>
      <c r="D22" s="401"/>
      <c r="E22" s="551"/>
      <c r="F22" s="552"/>
      <c r="G22" s="553"/>
      <c r="H22" s="553"/>
      <c r="I22" s="952"/>
      <c r="J22" s="514"/>
      <c r="K22" s="269"/>
      <c r="L22" s="269"/>
      <c r="M22" s="269"/>
      <c r="Z22" s="559"/>
    </row>
    <row r="23" spans="1:26" ht="88.5" customHeight="1" x14ac:dyDescent="0.3">
      <c r="A23" s="396" t="s">
        <v>722</v>
      </c>
      <c r="B23" s="402"/>
      <c r="C23" s="402"/>
      <c r="D23" s="959" t="str">
        <f>+M23</f>
        <v/>
      </c>
      <c r="E23" s="546" t="s">
        <v>1047</v>
      </c>
      <c r="F23" s="958" t="str">
        <f>+M23</f>
        <v/>
      </c>
      <c r="G23" s="547" t="s">
        <v>1580</v>
      </c>
      <c r="H23" s="547" t="s">
        <v>1081</v>
      </c>
      <c r="I23" s="536"/>
      <c r="J23" s="514"/>
      <c r="K23" s="269">
        <v>1000</v>
      </c>
      <c r="L23" s="269"/>
      <c r="M23" s="951" t="str">
        <f>IFERROR((+Import!L94-Import!L93)/Import!L95,"")</f>
        <v/>
      </c>
      <c r="Z23" s="559" t="s">
        <v>1339</v>
      </c>
    </row>
    <row r="24" spans="1:26" x14ac:dyDescent="0.3">
      <c r="A24" s="286"/>
      <c r="B24" s="532"/>
      <c r="C24" s="532"/>
      <c r="D24" s="532"/>
      <c r="E24" s="533"/>
      <c r="F24" s="532"/>
      <c r="G24" s="534"/>
      <c r="H24" s="532"/>
      <c r="I24" s="532"/>
      <c r="M24" s="275"/>
      <c r="Z24" s="560"/>
    </row>
  </sheetData>
  <sheetProtection algorithmName="SHA-512" hashValue="WD3yRM6znqoApHA/VgokNmxuEFsS3ESbnnXEKl2c9HOgSKw7GtspGKIR9Wo8ER/4eUzpZpT3/CkptI+K5W2Fww==" saltValue="87i1Q9imBGnXTeCB4wXRCw=="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heetViews>
  <sheetFormatPr defaultColWidth="9.109375" defaultRowHeight="14.4" x14ac:dyDescent="0.3"/>
  <cols>
    <col min="1" max="1" width="9.109375" style="296"/>
    <col min="2" max="2" width="10.44140625" style="296" bestFit="1" customWidth="1"/>
    <col min="3" max="3" width="29.88671875" style="296" customWidth="1"/>
    <col min="4" max="4" width="40.5546875" style="296" customWidth="1"/>
    <col min="5" max="5" width="3.6640625" style="296" customWidth="1"/>
    <col min="6" max="6" width="13.44140625" style="296" customWidth="1"/>
    <col min="7" max="7" width="3.5546875" style="296" customWidth="1"/>
    <col min="8" max="8" width="14.109375" style="296" customWidth="1"/>
    <col min="9" max="16384" width="9.109375" style="296"/>
  </cols>
  <sheetData>
    <row r="2" spans="1:8" ht="54.75" customHeight="1" x14ac:dyDescent="0.3">
      <c r="A2" s="1312" t="s">
        <v>112</v>
      </c>
      <c r="B2" s="1312"/>
      <c r="C2" s="1312"/>
      <c r="D2" s="1312"/>
      <c r="E2" s="1312"/>
      <c r="F2" s="464"/>
      <c r="G2" s="464"/>
      <c r="H2" s="465"/>
    </row>
    <row r="4" spans="1:8" ht="15.6" x14ac:dyDescent="0.3">
      <c r="A4" s="465"/>
      <c r="B4" s="466" t="str">
        <f>'Unit Data from Audit Worksheet'!D2</f>
        <v>Select Unit Name from Drop Down List</v>
      </c>
      <c r="C4" s="467"/>
      <c r="D4" s="19"/>
      <c r="E4" s="20"/>
      <c r="F4" s="468">
        <f>'Unit Data from Audit Worksheet'!F5</f>
        <v>2021</v>
      </c>
      <c r="G4" s="465"/>
      <c r="H4" s="468">
        <f>'Unit Data from Audit Worksheet'!F5</f>
        <v>2021</v>
      </c>
    </row>
    <row r="5" spans="1:8" ht="41.4" x14ac:dyDescent="0.4">
      <c r="A5" s="469"/>
      <c r="B5" s="470" t="s">
        <v>72</v>
      </c>
      <c r="C5" s="469"/>
      <c r="D5" s="469"/>
      <c r="E5" s="469"/>
      <c r="F5" s="468" t="s">
        <v>73</v>
      </c>
      <c r="G5" s="469"/>
      <c r="H5" s="471" t="s">
        <v>74</v>
      </c>
    </row>
    <row r="6" spans="1:8" x14ac:dyDescent="0.3">
      <c r="A6" s="465"/>
      <c r="B6" s="472" t="s">
        <v>75</v>
      </c>
      <c r="C6" s="465"/>
      <c r="D6" s="473"/>
      <c r="E6" s="473"/>
      <c r="F6" s="473"/>
      <c r="G6" s="473"/>
      <c r="H6" s="473"/>
    </row>
    <row r="7" spans="1:8" x14ac:dyDescent="0.3">
      <c r="A7" s="465"/>
      <c r="B7" s="473" t="s">
        <v>76</v>
      </c>
      <c r="C7" s="465"/>
      <c r="D7" s="473"/>
      <c r="E7" s="473" t="s">
        <v>31</v>
      </c>
      <c r="F7" s="474">
        <f>Import!L52</f>
        <v>0</v>
      </c>
      <c r="G7" s="475"/>
      <c r="H7" s="474">
        <f>F7</f>
        <v>0</v>
      </c>
    </row>
    <row r="8" spans="1:8" ht="44.25" customHeight="1" x14ac:dyDescent="0.3">
      <c r="A8" s="465"/>
      <c r="B8" s="1309" t="s">
        <v>77</v>
      </c>
      <c r="C8" s="1309"/>
      <c r="D8" s="1309"/>
      <c r="E8" s="473" t="s">
        <v>31</v>
      </c>
      <c r="F8" s="476">
        <f>Import!L53</f>
        <v>0</v>
      </c>
      <c r="G8" s="477"/>
      <c r="H8" s="477"/>
    </row>
    <row r="9" spans="1:8" x14ac:dyDescent="0.3">
      <c r="A9" s="465"/>
      <c r="B9" s="465"/>
      <c r="C9" s="473" t="s">
        <v>181</v>
      </c>
      <c r="D9" s="465"/>
      <c r="E9" s="473" t="s">
        <v>31</v>
      </c>
      <c r="F9" s="478">
        <f>Import!L57</f>
        <v>0</v>
      </c>
      <c r="G9" s="477"/>
      <c r="H9" s="463">
        <f>F9</f>
        <v>0</v>
      </c>
    </row>
    <row r="10" spans="1:8" x14ac:dyDescent="0.3">
      <c r="A10" s="465"/>
      <c r="B10" s="465"/>
      <c r="C10" s="473" t="s">
        <v>78</v>
      </c>
      <c r="D10" s="465"/>
      <c r="E10" s="473" t="s">
        <v>31</v>
      </c>
      <c r="F10" s="463">
        <f>Import!L230</f>
        <v>0</v>
      </c>
      <c r="G10" s="477"/>
      <c r="H10" s="463">
        <f>F10</f>
        <v>0</v>
      </c>
    </row>
    <row r="11" spans="1:8" x14ac:dyDescent="0.3">
      <c r="A11" s="465"/>
      <c r="B11" s="465"/>
      <c r="C11" s="473" t="s">
        <v>79</v>
      </c>
      <c r="D11" s="465"/>
      <c r="E11" s="473" t="s">
        <v>31</v>
      </c>
      <c r="F11" s="479">
        <f>Import!L58</f>
        <v>0</v>
      </c>
      <c r="G11" s="480"/>
      <c r="H11" s="479">
        <f>F11</f>
        <v>0</v>
      </c>
    </row>
    <row r="12" spans="1:8" x14ac:dyDescent="0.3">
      <c r="A12" s="465"/>
      <c r="B12" s="21" t="s">
        <v>80</v>
      </c>
      <c r="C12" s="481" t="s">
        <v>81</v>
      </c>
      <c r="D12" s="482"/>
      <c r="E12" s="483" t="s">
        <v>31</v>
      </c>
      <c r="F12" s="484">
        <f>F7+F8-SUM(F9:F11)</f>
        <v>0</v>
      </c>
      <c r="G12" s="485"/>
      <c r="H12" s="484">
        <f>H7+H8-SUM(H9:H11)</f>
        <v>0</v>
      </c>
    </row>
    <row r="13" spans="1:8" x14ac:dyDescent="0.3">
      <c r="A13" s="465"/>
      <c r="B13" s="465"/>
      <c r="C13" s="473"/>
      <c r="D13" s="473"/>
      <c r="E13" s="473" t="s">
        <v>31</v>
      </c>
      <c r="F13" s="473"/>
      <c r="G13" s="473"/>
      <c r="H13" s="473"/>
    </row>
    <row r="14" spans="1:8" x14ac:dyDescent="0.3">
      <c r="A14" s="465"/>
      <c r="B14" s="473" t="s">
        <v>82</v>
      </c>
      <c r="C14" s="465"/>
      <c r="D14" s="473"/>
      <c r="E14" s="473" t="s">
        <v>31</v>
      </c>
      <c r="F14" s="486">
        <f>Import!L65</f>
        <v>0</v>
      </c>
      <c r="G14" s="473"/>
      <c r="H14" s="473"/>
    </row>
    <row r="15" spans="1:8" x14ac:dyDescent="0.3">
      <c r="A15" s="465"/>
      <c r="B15" s="473" t="s">
        <v>83</v>
      </c>
      <c r="C15" s="465"/>
      <c r="D15" s="473"/>
      <c r="E15" s="473" t="s">
        <v>31</v>
      </c>
      <c r="F15" s="487">
        <f>F14-F12</f>
        <v>0</v>
      </c>
      <c r="G15" s="473"/>
      <c r="H15" s="473"/>
    </row>
    <row r="16" spans="1:8" x14ac:dyDescent="0.3">
      <c r="A16" s="465"/>
      <c r="B16" s="488" t="s">
        <v>84</v>
      </c>
      <c r="C16" s="465"/>
      <c r="D16" s="473"/>
      <c r="E16" s="473"/>
      <c r="F16" s="473"/>
      <c r="G16" s="473"/>
      <c r="H16" s="473"/>
    </row>
    <row r="17" spans="2:8" x14ac:dyDescent="0.3">
      <c r="B17" s="489" t="s">
        <v>85</v>
      </c>
      <c r="C17" s="473" t="s">
        <v>86</v>
      </c>
      <c r="D17" s="465"/>
      <c r="E17" s="473" t="s">
        <v>31</v>
      </c>
      <c r="F17" s="490">
        <f>Import!L61</f>
        <v>0</v>
      </c>
      <c r="G17" s="473"/>
      <c r="H17" s="473"/>
    </row>
    <row r="18" spans="2:8" ht="15" thickBot="1" x14ac:dyDescent="0.35">
      <c r="B18" s="21" t="s">
        <v>80</v>
      </c>
      <c r="C18" s="481" t="s">
        <v>87</v>
      </c>
      <c r="D18" s="482"/>
      <c r="E18" s="483" t="s">
        <v>31</v>
      </c>
      <c r="F18" s="491">
        <f>(F15-SUM(F17:F17))</f>
        <v>0</v>
      </c>
      <c r="G18" s="473"/>
      <c r="H18" s="473"/>
    </row>
    <row r="19" spans="2:8" ht="15" thickTop="1" x14ac:dyDescent="0.3">
      <c r="B19" s="465"/>
      <c r="C19" s="473"/>
      <c r="D19" s="473"/>
      <c r="E19" s="473"/>
      <c r="F19" s="473"/>
      <c r="G19" s="473"/>
      <c r="H19" s="473"/>
    </row>
    <row r="20" spans="2:8" ht="15" thickBot="1" x14ac:dyDescent="0.35">
      <c r="B20" s="473" t="s">
        <v>88</v>
      </c>
      <c r="C20" s="465"/>
      <c r="D20" s="473"/>
      <c r="E20" s="473" t="s">
        <v>31</v>
      </c>
      <c r="F20" s="492">
        <f>Import!L60</f>
        <v>0</v>
      </c>
      <c r="G20" s="473"/>
      <c r="H20" s="473"/>
    </row>
    <row r="21" spans="2:8" ht="15.6" thickTop="1" thickBot="1" x14ac:dyDescent="0.35">
      <c r="B21" s="465"/>
      <c r="C21" s="493"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65"/>
      <c r="E21" s="473" t="s">
        <v>31</v>
      </c>
      <c r="F21" s="494">
        <f>ABS(F18-F20)</f>
        <v>0</v>
      </c>
      <c r="G21" s="473"/>
      <c r="H21" s="473"/>
    </row>
    <row r="22" spans="2:8" ht="50.25" customHeight="1" thickTop="1" x14ac:dyDescent="0.3">
      <c r="B22" s="465"/>
      <c r="C22" s="1310" t="str">
        <f>IF(F18&gt;F20,"Since Restricted-Stabilization by State Statute was understated, verfiy that the unit did not appropriate fund balance in excess of legal amount available in row 12 above.","")</f>
        <v/>
      </c>
      <c r="D22" s="1310"/>
      <c r="E22" s="1310"/>
      <c r="F22" s="1310"/>
      <c r="G22" s="473"/>
      <c r="H22" s="473"/>
    </row>
    <row r="23" spans="2:8" x14ac:dyDescent="0.3">
      <c r="B23" s="465"/>
      <c r="C23" s="1311" t="s">
        <v>89</v>
      </c>
      <c r="D23" s="473"/>
      <c r="E23" s="473"/>
      <c r="F23" s="473"/>
      <c r="G23" s="473"/>
      <c r="H23" s="495" t="s">
        <v>90</v>
      </c>
    </row>
    <row r="24" spans="2:8" x14ac:dyDescent="0.3">
      <c r="B24" s="465"/>
      <c r="C24" s="1311"/>
      <c r="D24" s="473"/>
      <c r="E24" s="473"/>
      <c r="F24" s="468" t="s">
        <v>91</v>
      </c>
      <c r="G24" s="473"/>
      <c r="H24" s="468" t="s">
        <v>99</v>
      </c>
    </row>
    <row r="25" spans="2:8" x14ac:dyDescent="0.3">
      <c r="B25" s="465"/>
      <c r="C25" s="472" t="s">
        <v>92</v>
      </c>
      <c r="D25" s="473"/>
      <c r="E25" s="473"/>
      <c r="F25" s="473"/>
      <c r="G25" s="473"/>
      <c r="H25" s="473"/>
    </row>
    <row r="26" spans="2:8" ht="25.2" customHeight="1" x14ac:dyDescent="0.3">
      <c r="B26" s="465"/>
      <c r="C26" s="473" t="s">
        <v>93</v>
      </c>
      <c r="D26" s="473"/>
      <c r="E26" s="473" t="s">
        <v>31</v>
      </c>
      <c r="F26" s="474">
        <f>Import!L72</f>
        <v>0</v>
      </c>
      <c r="G26" s="475"/>
      <c r="H26" s="496">
        <f>F26</f>
        <v>0</v>
      </c>
    </row>
    <row r="27" spans="2:8" x14ac:dyDescent="0.3">
      <c r="B27" s="465"/>
      <c r="C27" s="489" t="s">
        <v>94</v>
      </c>
      <c r="D27" s="473"/>
      <c r="E27" s="473"/>
      <c r="F27" s="473"/>
      <c r="G27" s="473"/>
      <c r="H27" s="473"/>
    </row>
    <row r="28" spans="2:8" x14ac:dyDescent="0.3">
      <c r="B28" s="465"/>
      <c r="C28" s="473" t="s">
        <v>95</v>
      </c>
      <c r="D28" s="465"/>
      <c r="E28" s="473" t="s">
        <v>31</v>
      </c>
      <c r="F28" s="497">
        <f>Import!L74</f>
        <v>0</v>
      </c>
      <c r="G28" s="477"/>
      <c r="H28" s="498">
        <f>F28</f>
        <v>0</v>
      </c>
    </row>
    <row r="29" spans="2:8" x14ac:dyDescent="0.3">
      <c r="B29" s="465"/>
      <c r="C29" s="473" t="s">
        <v>96</v>
      </c>
      <c r="D29" s="465"/>
      <c r="E29" s="473" t="s">
        <v>31</v>
      </c>
      <c r="F29" s="499">
        <f>Import!L75+Import!L76</f>
        <v>0</v>
      </c>
      <c r="G29" s="477"/>
      <c r="H29" s="500">
        <f>F29</f>
        <v>0</v>
      </c>
    </row>
    <row r="30" spans="2:8" ht="15" thickBot="1" x14ac:dyDescent="0.35">
      <c r="B30" s="465"/>
      <c r="C30" s="473" t="s">
        <v>97</v>
      </c>
      <c r="D30" s="473"/>
      <c r="E30" s="473" t="s">
        <v>31</v>
      </c>
      <c r="F30" s="501">
        <f>SUM(F26:F28)-F29</f>
        <v>0</v>
      </c>
      <c r="G30" s="475"/>
      <c r="H30" s="501">
        <f>SUM(H26:H28)-H29</f>
        <v>0</v>
      </c>
    </row>
    <row r="31" spans="2:8" ht="15" thickTop="1" x14ac:dyDescent="0.3">
      <c r="B31" s="465"/>
      <c r="C31" s="473"/>
      <c r="D31" s="473"/>
      <c r="E31" s="473"/>
      <c r="F31" s="473"/>
      <c r="G31" s="473"/>
      <c r="H31" s="473"/>
    </row>
    <row r="32" spans="2:8" ht="15" thickBot="1" x14ac:dyDescent="0.35">
      <c r="B32" s="21" t="s">
        <v>80</v>
      </c>
      <c r="C32" s="493" t="s">
        <v>98</v>
      </c>
      <c r="D32" s="21"/>
      <c r="E32" s="493" t="s">
        <v>31</v>
      </c>
      <c r="F32" s="502" t="e">
        <f>F12/F30</f>
        <v>#DIV/0!</v>
      </c>
      <c r="G32" s="473"/>
      <c r="H32" s="502" t="e">
        <f>H12/H30</f>
        <v>#DIV/0!</v>
      </c>
    </row>
    <row r="33" spans="1:8" ht="15" thickTop="1" x14ac:dyDescent="0.3">
      <c r="C33" s="473"/>
      <c r="D33" s="473"/>
      <c r="E33" s="473"/>
      <c r="F33" s="473"/>
      <c r="G33" s="473"/>
      <c r="H33" s="473"/>
    </row>
    <row r="34" spans="1:8" ht="15.6" x14ac:dyDescent="0.3">
      <c r="A34" s="23"/>
      <c r="C34" s="22"/>
    </row>
    <row r="36" spans="1:8" x14ac:dyDescent="0.3">
      <c r="F36" s="297"/>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296" customWidth="1"/>
    <col min="4" max="4" width="18.6640625" style="702" customWidth="1"/>
    <col min="5" max="10" width="18.6640625" style="296" customWidth="1"/>
    <col min="11" max="16384" width="9.109375" style="296"/>
  </cols>
  <sheetData>
    <row r="3" spans="1:13" x14ac:dyDescent="0.3">
      <c r="D3" s="706">
        <v>2019</v>
      </c>
      <c r="E3" s="706">
        <v>2018</v>
      </c>
      <c r="F3" s="706">
        <v>2017</v>
      </c>
      <c r="G3" s="706">
        <v>2016</v>
      </c>
      <c r="H3" s="706">
        <v>2015</v>
      </c>
      <c r="I3" s="706">
        <v>2014</v>
      </c>
      <c r="J3" s="706">
        <v>2013</v>
      </c>
      <c r="K3" s="702"/>
      <c r="L3" s="702"/>
      <c r="M3" s="702"/>
    </row>
    <row r="4" spans="1:13" x14ac:dyDescent="0.3">
      <c r="A4" s="300" t="s">
        <v>775</v>
      </c>
      <c r="B4" s="300"/>
      <c r="C4" s="300" t="s">
        <v>776</v>
      </c>
      <c r="D4" s="705" t="s">
        <v>721</v>
      </c>
      <c r="E4" s="705" t="s">
        <v>721</v>
      </c>
      <c r="F4" s="705" t="s">
        <v>721</v>
      </c>
      <c r="G4" s="705" t="s">
        <v>721</v>
      </c>
      <c r="H4" s="705" t="s">
        <v>721</v>
      </c>
      <c r="I4" s="705" t="s">
        <v>721</v>
      </c>
      <c r="J4" s="705" t="s">
        <v>721</v>
      </c>
      <c r="K4" s="718"/>
    </row>
    <row r="5" spans="1:13" x14ac:dyDescent="0.3">
      <c r="A5" s="300">
        <v>5119</v>
      </c>
      <c r="B5" s="300" t="s">
        <v>752</v>
      </c>
      <c r="C5" s="300">
        <v>647</v>
      </c>
      <c r="D5" s="702">
        <v>20578691</v>
      </c>
      <c r="E5" s="702">
        <v>3249248</v>
      </c>
      <c r="F5" s="702">
        <v>2957570</v>
      </c>
      <c r="G5" s="702">
        <v>5709008</v>
      </c>
      <c r="H5" s="702">
        <v>5114434</v>
      </c>
      <c r="I5" s="702">
        <v>4562229</v>
      </c>
      <c r="J5" s="702">
        <v>4029652</v>
      </c>
    </row>
    <row r="6" spans="1:13" x14ac:dyDescent="0.3">
      <c r="A6" s="300">
        <v>5120</v>
      </c>
      <c r="B6" s="300" t="s">
        <v>753</v>
      </c>
      <c r="C6" s="300">
        <v>647</v>
      </c>
      <c r="D6" s="702">
        <v>0</v>
      </c>
      <c r="E6" s="702">
        <v>0</v>
      </c>
      <c r="F6" s="702">
        <v>0</v>
      </c>
      <c r="G6" s="702">
        <v>0</v>
      </c>
      <c r="H6" s="702">
        <v>0</v>
      </c>
      <c r="I6" s="702">
        <v>0</v>
      </c>
      <c r="J6" s="702">
        <v>0</v>
      </c>
    </row>
    <row r="7" spans="1:13" x14ac:dyDescent="0.3">
      <c r="A7" s="300">
        <v>5131</v>
      </c>
      <c r="B7" s="300" t="s">
        <v>754</v>
      </c>
      <c r="C7" s="300">
        <v>647</v>
      </c>
      <c r="D7" s="702">
        <v>37089245</v>
      </c>
      <c r="E7" s="702">
        <v>20299814</v>
      </c>
      <c r="F7" s="702">
        <v>8051571</v>
      </c>
      <c r="G7" s="702">
        <v>7371500</v>
      </c>
      <c r="H7" s="702">
        <v>5966665</v>
      </c>
      <c r="I7" s="702">
        <v>8207298</v>
      </c>
      <c r="J7" s="702">
        <v>7347048</v>
      </c>
    </row>
    <row r="8" spans="1:13" x14ac:dyDescent="0.3">
      <c r="A8" s="300">
        <v>5135</v>
      </c>
      <c r="B8" s="300" t="s">
        <v>755</v>
      </c>
      <c r="C8" s="300">
        <v>647</v>
      </c>
      <c r="D8" s="702">
        <v>0</v>
      </c>
      <c r="E8" s="702">
        <v>0</v>
      </c>
      <c r="F8" s="702">
        <v>4056482</v>
      </c>
      <c r="G8" s="702">
        <v>3922669</v>
      </c>
      <c r="H8" s="702">
        <v>3148233</v>
      </c>
      <c r="I8" s="702">
        <v>2755127</v>
      </c>
      <c r="J8" s="702">
        <v>2755127</v>
      </c>
    </row>
    <row r="9" spans="1:13" x14ac:dyDescent="0.3">
      <c r="A9" s="300">
        <v>5144</v>
      </c>
      <c r="B9" s="300" t="s">
        <v>756</v>
      </c>
      <c r="C9" s="300">
        <v>647</v>
      </c>
      <c r="D9" s="702">
        <v>7441890</v>
      </c>
      <c r="E9" s="702">
        <v>7441890</v>
      </c>
      <c r="F9" s="702">
        <v>4932241</v>
      </c>
      <c r="G9" s="702">
        <v>590997</v>
      </c>
      <c r="H9" s="702">
        <v>0</v>
      </c>
      <c r="I9" s="702">
        <v>3000000</v>
      </c>
      <c r="J9" s="702">
        <v>2390166</v>
      </c>
    </row>
    <row r="10" spans="1:13" x14ac:dyDescent="0.3">
      <c r="A10" s="300">
        <v>5155</v>
      </c>
      <c r="B10" s="300" t="s">
        <v>757</v>
      </c>
      <c r="C10" s="300">
        <v>647</v>
      </c>
      <c r="D10" s="702">
        <v>1008755</v>
      </c>
      <c r="E10" s="702">
        <v>781534</v>
      </c>
      <c r="F10" s="702">
        <v>663572</v>
      </c>
      <c r="G10" s="702">
        <v>6557774</v>
      </c>
      <c r="H10" s="702">
        <v>611355</v>
      </c>
      <c r="I10" s="702">
        <v>784361</v>
      </c>
      <c r="J10" s="702">
        <v>1022379</v>
      </c>
    </row>
    <row r="11" spans="1:13" x14ac:dyDescent="0.3">
      <c r="A11" s="300">
        <v>5158</v>
      </c>
      <c r="B11" s="300" t="s">
        <v>758</v>
      </c>
      <c r="C11" s="300">
        <v>647</v>
      </c>
      <c r="D11" s="702">
        <v>9</v>
      </c>
      <c r="E11" s="702">
        <v>9</v>
      </c>
      <c r="F11" s="702">
        <v>9</v>
      </c>
      <c r="G11" s="702">
        <v>9</v>
      </c>
      <c r="H11" s="702">
        <v>9</v>
      </c>
      <c r="I11" s="702">
        <v>9</v>
      </c>
      <c r="J11" s="702">
        <v>9</v>
      </c>
    </row>
    <row r="12" spans="1:13" x14ac:dyDescent="0.3">
      <c r="A12" s="300">
        <v>5159</v>
      </c>
      <c r="B12" s="300" t="s">
        <v>759</v>
      </c>
      <c r="C12" s="300">
        <v>647</v>
      </c>
      <c r="D12" s="702">
        <v>225639888</v>
      </c>
      <c r="E12" s="702">
        <v>219009306</v>
      </c>
      <c r="F12" s="702">
        <v>181812071</v>
      </c>
      <c r="G12" s="702">
        <v>193933610</v>
      </c>
      <c r="H12" s="702">
        <v>181583886</v>
      </c>
      <c r="I12" s="702">
        <v>0</v>
      </c>
      <c r="J12" s="702">
        <v>0</v>
      </c>
    </row>
    <row r="13" spans="1:13" x14ac:dyDescent="0.3">
      <c r="A13" s="300">
        <v>5164</v>
      </c>
      <c r="B13" s="300" t="s">
        <v>760</v>
      </c>
      <c r="C13" s="300">
        <v>647</v>
      </c>
      <c r="D13" s="702">
        <v>7132135</v>
      </c>
      <c r="E13" s="702">
        <v>5438631</v>
      </c>
      <c r="F13" s="702">
        <v>2427428</v>
      </c>
      <c r="G13" s="702">
        <v>157674</v>
      </c>
      <c r="H13" s="702">
        <v>0</v>
      </c>
      <c r="I13" s="702">
        <v>0</v>
      </c>
      <c r="J13" s="702">
        <v>0</v>
      </c>
    </row>
    <row r="14" spans="1:13" x14ac:dyDescent="0.3">
      <c r="A14" s="300">
        <v>5173</v>
      </c>
      <c r="B14" s="300" t="s">
        <v>761</v>
      </c>
      <c r="C14" s="300">
        <v>647</v>
      </c>
      <c r="D14" s="702">
        <v>422216</v>
      </c>
      <c r="E14" s="702">
        <v>2615544</v>
      </c>
      <c r="F14" s="702">
        <v>880554</v>
      </c>
      <c r="G14" s="702">
        <v>154942</v>
      </c>
      <c r="H14" s="702">
        <v>107456</v>
      </c>
      <c r="I14" s="702">
        <v>46240</v>
      </c>
      <c r="J14" s="702">
        <v>23390</v>
      </c>
    </row>
    <row r="15" spans="1:13" x14ac:dyDescent="0.3">
      <c r="A15" s="300">
        <v>5178</v>
      </c>
      <c r="B15" s="300" t="s">
        <v>762</v>
      </c>
      <c r="C15" s="300">
        <v>647</v>
      </c>
      <c r="D15" s="702">
        <v>75835</v>
      </c>
      <c r="E15" s="702">
        <v>66039</v>
      </c>
      <c r="F15" s="702">
        <v>57100</v>
      </c>
      <c r="G15" s="702">
        <v>52316</v>
      </c>
      <c r="H15" s="702">
        <v>23715</v>
      </c>
      <c r="I15" s="702">
        <v>899285</v>
      </c>
      <c r="J15" s="702">
        <v>1169608</v>
      </c>
    </row>
    <row r="16" spans="1:13" x14ac:dyDescent="0.3">
      <c r="A16" s="300">
        <v>5180</v>
      </c>
      <c r="B16" s="300" t="s">
        <v>763</v>
      </c>
      <c r="C16" s="300">
        <v>647</v>
      </c>
      <c r="D16" s="702">
        <v>4586780</v>
      </c>
      <c r="E16" s="702">
        <v>5165281</v>
      </c>
      <c r="F16" s="702">
        <v>4432068</v>
      </c>
      <c r="G16" s="702">
        <v>3558985</v>
      </c>
      <c r="H16" s="702">
        <v>2657915</v>
      </c>
      <c r="I16" s="702">
        <v>2071596</v>
      </c>
      <c r="J16" s="702">
        <v>1986034</v>
      </c>
    </row>
    <row r="17" spans="1:10" x14ac:dyDescent="0.3">
      <c r="A17" s="300">
        <v>5191</v>
      </c>
      <c r="B17" s="300" t="s">
        <v>764</v>
      </c>
      <c r="C17" s="300">
        <v>647</v>
      </c>
      <c r="D17" s="702">
        <v>111303046</v>
      </c>
      <c r="E17" s="702">
        <v>108974619</v>
      </c>
      <c r="F17" s="702">
        <v>120290900</v>
      </c>
      <c r="G17" s="702">
        <v>127448981</v>
      </c>
      <c r="H17" s="702">
        <v>153873846</v>
      </c>
      <c r="I17" s="702">
        <v>135252125</v>
      </c>
      <c r="J17" s="702">
        <v>169055200</v>
      </c>
    </row>
    <row r="18" spans="1:10" x14ac:dyDescent="0.3">
      <c r="A18" s="300">
        <v>50074</v>
      </c>
      <c r="B18" s="300" t="s">
        <v>765</v>
      </c>
      <c r="C18" s="300">
        <v>647</v>
      </c>
      <c r="D18" s="702">
        <v>7494829</v>
      </c>
      <c r="E18" s="702">
        <v>7189658</v>
      </c>
      <c r="F18" s="702">
        <v>7048523</v>
      </c>
      <c r="G18" s="702">
        <v>6615510</v>
      </c>
      <c r="H18" s="702">
        <v>5452410</v>
      </c>
      <c r="I18" s="702">
        <v>4803926</v>
      </c>
      <c r="J18" s="702">
        <v>5340180</v>
      </c>
    </row>
    <row r="19" spans="1:10" x14ac:dyDescent="0.3">
      <c r="A19" s="300">
        <v>50075</v>
      </c>
      <c r="B19" s="300" t="s">
        <v>766</v>
      </c>
      <c r="C19" s="300">
        <v>647</v>
      </c>
      <c r="D19" s="702">
        <v>266214000</v>
      </c>
      <c r="E19" s="702">
        <v>265541000</v>
      </c>
      <c r="F19" s="702">
        <v>274532000</v>
      </c>
      <c r="G19" s="702">
        <v>286138000</v>
      </c>
      <c r="H19" s="702">
        <v>295124000</v>
      </c>
      <c r="I19" s="702">
        <v>264645000</v>
      </c>
      <c r="J19" s="702">
        <v>231434000</v>
      </c>
    </row>
    <row r="20" spans="1:10" x14ac:dyDescent="0.3">
      <c r="A20" s="300">
        <v>50110</v>
      </c>
      <c r="B20" s="300" t="s">
        <v>767</v>
      </c>
      <c r="C20" s="300">
        <v>647</v>
      </c>
      <c r="D20" s="702">
        <v>46833536</v>
      </c>
      <c r="E20" s="702">
        <v>45660075</v>
      </c>
      <c r="F20" s="702">
        <v>8463820</v>
      </c>
      <c r="G20" s="702">
        <v>2663591</v>
      </c>
      <c r="H20" s="702">
        <v>2371109</v>
      </c>
      <c r="I20" s="702">
        <v>2878268</v>
      </c>
      <c r="J20" s="702">
        <v>4203755</v>
      </c>
    </row>
    <row r="21" spans="1:10" x14ac:dyDescent="0.3">
      <c r="A21" s="300">
        <v>50144</v>
      </c>
      <c r="B21" s="300" t="s">
        <v>768</v>
      </c>
      <c r="C21" s="300">
        <v>647</v>
      </c>
      <c r="D21" s="702">
        <v>4258932</v>
      </c>
      <c r="E21" s="702">
        <v>853434</v>
      </c>
      <c r="F21" s="702">
        <v>1622119</v>
      </c>
      <c r="G21" s="702">
        <v>1743258</v>
      </c>
      <c r="H21" s="702">
        <v>1740179</v>
      </c>
      <c r="I21" s="702">
        <v>1739958</v>
      </c>
      <c r="J21" s="702">
        <v>1739695</v>
      </c>
    </row>
    <row r="22" spans="1:10" x14ac:dyDescent="0.3">
      <c r="A22" s="300">
        <v>50159</v>
      </c>
      <c r="B22" s="300" t="s">
        <v>769</v>
      </c>
      <c r="C22" s="300">
        <v>647</v>
      </c>
      <c r="D22" s="702">
        <v>28636370</v>
      </c>
      <c r="E22" s="702">
        <v>23180822</v>
      </c>
      <c r="F22" s="702">
        <v>16487675</v>
      </c>
      <c r="G22" s="702">
        <v>10909425</v>
      </c>
      <c r="H22" s="702">
        <v>7878571</v>
      </c>
      <c r="I22" s="702">
        <v>5300679</v>
      </c>
      <c r="J22" s="702">
        <v>4801051</v>
      </c>
    </row>
    <row r="23" spans="1:10" x14ac:dyDescent="0.3">
      <c r="A23" s="300">
        <v>50160</v>
      </c>
      <c r="B23" s="300" t="s">
        <v>770</v>
      </c>
      <c r="C23" s="300">
        <v>647</v>
      </c>
      <c r="D23" s="702">
        <v>1134799</v>
      </c>
      <c r="E23" s="702">
        <v>894858</v>
      </c>
      <c r="F23" s="702">
        <v>1002425</v>
      </c>
      <c r="G23" s="702">
        <v>354061</v>
      </c>
      <c r="H23" s="702">
        <v>392698</v>
      </c>
      <c r="I23" s="702">
        <v>442800</v>
      </c>
      <c r="J23" s="702">
        <v>942821</v>
      </c>
    </row>
    <row r="24" spans="1:10" x14ac:dyDescent="0.3">
      <c r="A24" s="300">
        <v>50180</v>
      </c>
      <c r="B24" s="300" t="s">
        <v>771</v>
      </c>
      <c r="C24" s="300">
        <v>647</v>
      </c>
      <c r="D24" s="702">
        <v>13193040</v>
      </c>
      <c r="E24" s="702">
        <v>17058564</v>
      </c>
      <c r="F24" s="702">
        <v>16187505</v>
      </c>
      <c r="G24" s="702">
        <v>16428100</v>
      </c>
      <c r="H24" s="702">
        <v>16688416</v>
      </c>
      <c r="I24" s="702">
        <v>17840940</v>
      </c>
      <c r="J24" s="702">
        <v>18042019</v>
      </c>
    </row>
    <row r="25" spans="1:10" x14ac:dyDescent="0.3">
      <c r="A25" s="300">
        <v>50405</v>
      </c>
      <c r="B25" s="300" t="s">
        <v>772</v>
      </c>
      <c r="C25" s="300">
        <v>647</v>
      </c>
      <c r="D25" s="702">
        <v>302046</v>
      </c>
      <c r="E25" s="702">
        <v>1055143</v>
      </c>
      <c r="F25" s="702">
        <v>0</v>
      </c>
      <c r="G25" s="702">
        <v>0</v>
      </c>
      <c r="H25" s="702">
        <v>0</v>
      </c>
      <c r="I25" s="702">
        <v>0</v>
      </c>
      <c r="J25" s="702">
        <v>0</v>
      </c>
    </row>
    <row r="26" spans="1:10" x14ac:dyDescent="0.3">
      <c r="A26" s="300">
        <v>50425</v>
      </c>
      <c r="B26" s="300" t="s">
        <v>773</v>
      </c>
      <c r="C26" s="300">
        <v>647</v>
      </c>
      <c r="D26" s="702">
        <v>20836222</v>
      </c>
      <c r="E26" s="702">
        <v>16328642</v>
      </c>
      <c r="F26" s="702">
        <v>15202516</v>
      </c>
      <c r="G26" s="702">
        <v>12384500</v>
      </c>
      <c r="H26" s="702">
        <v>9788553</v>
      </c>
      <c r="I26" s="702">
        <v>7967199</v>
      </c>
      <c r="J26" s="702">
        <v>6398918</v>
      </c>
    </row>
    <row r="27" spans="1:10" x14ac:dyDescent="0.3">
      <c r="A27" s="300">
        <v>50431</v>
      </c>
      <c r="B27" s="300" t="s">
        <v>774</v>
      </c>
      <c r="C27" s="300">
        <v>647</v>
      </c>
      <c r="D27" s="702">
        <v>25542629</v>
      </c>
      <c r="E27" s="702">
        <v>24964077</v>
      </c>
      <c r="F27" s="702">
        <v>23618105</v>
      </c>
      <c r="G27" s="702">
        <v>22744716</v>
      </c>
      <c r="H27" s="702">
        <v>16714796</v>
      </c>
      <c r="I27" s="702">
        <v>13788676</v>
      </c>
      <c r="J27" s="702">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3" sqref="A3"/>
    </sheetView>
  </sheetViews>
  <sheetFormatPr defaultColWidth="9.109375" defaultRowHeight="14.4" x14ac:dyDescent="0.3"/>
  <cols>
    <col min="1" max="1" width="9.109375" style="270"/>
    <col min="2" max="2" width="54.109375" style="270" customWidth="1"/>
    <col min="3" max="3" width="23.6640625" style="270" customWidth="1"/>
    <col min="4" max="4" width="19.6640625" style="270" customWidth="1"/>
    <col min="5" max="10" width="9.109375" style="270"/>
    <col min="11" max="11" width="54.109375" style="270" customWidth="1"/>
    <col min="12" max="16384" width="9.109375" style="270"/>
  </cols>
  <sheetData>
    <row r="1" spans="1:11" ht="43.2" x14ac:dyDescent="0.3">
      <c r="A1" s="270" t="s">
        <v>775</v>
      </c>
      <c r="B1" s="270" t="s">
        <v>918</v>
      </c>
      <c r="C1" s="278" t="s">
        <v>883</v>
      </c>
      <c r="D1" s="279" t="s">
        <v>1113</v>
      </c>
      <c r="E1" s="270" t="s">
        <v>1586</v>
      </c>
    </row>
    <row r="3" spans="1:11" ht="23.4" x14ac:dyDescent="0.45">
      <c r="A3" s="270">
        <v>50001</v>
      </c>
      <c r="B3" s="270" t="s">
        <v>919</v>
      </c>
      <c r="C3" s="270">
        <v>50</v>
      </c>
      <c r="D3" s="170" t="s">
        <v>51</v>
      </c>
      <c r="E3" s="305" t="s">
        <v>1256</v>
      </c>
    </row>
    <row r="4" spans="1:11" x14ac:dyDescent="0.3">
      <c r="A4" s="270">
        <v>50006</v>
      </c>
      <c r="B4" s="270" t="s">
        <v>920</v>
      </c>
      <c r="C4" s="270">
        <v>50</v>
      </c>
      <c r="D4" s="170" t="s">
        <v>51</v>
      </c>
    </row>
    <row r="5" spans="1:11" x14ac:dyDescent="0.3">
      <c r="A5" s="270">
        <v>50013</v>
      </c>
      <c r="B5" s="270" t="s">
        <v>922</v>
      </c>
      <c r="C5" s="270">
        <v>50</v>
      </c>
      <c r="D5" s="170" t="s">
        <v>51</v>
      </c>
    </row>
    <row r="6" spans="1:11" x14ac:dyDescent="0.3">
      <c r="A6" s="270">
        <v>50016</v>
      </c>
      <c r="B6" s="963" t="s">
        <v>1587</v>
      </c>
      <c r="C6" s="270">
        <v>50</v>
      </c>
      <c r="D6" s="170" t="s">
        <v>51</v>
      </c>
      <c r="K6" s="963"/>
    </row>
    <row r="7" spans="1:11" x14ac:dyDescent="0.3">
      <c r="A7" s="270">
        <v>50019</v>
      </c>
      <c r="B7" s="963" t="s">
        <v>1588</v>
      </c>
      <c r="C7" s="270">
        <v>50</v>
      </c>
      <c r="D7" s="170" t="s">
        <v>51</v>
      </c>
      <c r="K7" s="963"/>
    </row>
    <row r="8" spans="1:11" x14ac:dyDescent="0.3">
      <c r="A8" s="270">
        <v>50504</v>
      </c>
      <c r="B8" s="270" t="s">
        <v>923</v>
      </c>
      <c r="C8" s="270">
        <v>50</v>
      </c>
      <c r="D8" s="170" t="s">
        <v>51</v>
      </c>
    </row>
    <row r="9" spans="1:11" x14ac:dyDescent="0.3">
      <c r="A9" s="270">
        <v>50021</v>
      </c>
      <c r="B9" s="963" t="s">
        <v>1589</v>
      </c>
      <c r="C9" s="270">
        <v>50</v>
      </c>
      <c r="D9" s="170" t="s">
        <v>51</v>
      </c>
      <c r="K9" s="963"/>
    </row>
    <row r="10" spans="1:11" x14ac:dyDescent="0.3">
      <c r="A10" s="270">
        <v>50024</v>
      </c>
      <c r="B10" s="270" t="s">
        <v>924</v>
      </c>
      <c r="C10" s="270">
        <v>50</v>
      </c>
      <c r="D10" s="170" t="s">
        <v>51</v>
      </c>
    </row>
    <row r="11" spans="1:11" x14ac:dyDescent="0.3">
      <c r="A11" s="270">
        <v>50029</v>
      </c>
      <c r="B11" s="270" t="s">
        <v>925</v>
      </c>
      <c r="C11" s="270">
        <v>50</v>
      </c>
      <c r="D11" s="170" t="s">
        <v>51</v>
      </c>
    </row>
    <row r="12" spans="1:11" x14ac:dyDescent="0.3">
      <c r="A12" s="270">
        <v>50031</v>
      </c>
      <c r="B12" s="963" t="s">
        <v>1590</v>
      </c>
      <c r="C12" s="270">
        <v>50</v>
      </c>
      <c r="D12" s="170" t="s">
        <v>51</v>
      </c>
      <c r="K12" s="963"/>
    </row>
    <row r="13" spans="1:11" x14ac:dyDescent="0.3">
      <c r="A13" s="270">
        <v>50469</v>
      </c>
      <c r="B13" s="270" t="s">
        <v>926</v>
      </c>
      <c r="C13" s="270">
        <v>50</v>
      </c>
      <c r="D13" s="170" t="s">
        <v>51</v>
      </c>
    </row>
    <row r="14" spans="1:11" x14ac:dyDescent="0.3">
      <c r="A14" s="270">
        <v>50034</v>
      </c>
      <c r="B14" s="270" t="s">
        <v>928</v>
      </c>
      <c r="C14" s="270">
        <v>50</v>
      </c>
      <c r="D14" s="170" t="s">
        <v>51</v>
      </c>
    </row>
    <row r="15" spans="1:11" x14ac:dyDescent="0.3">
      <c r="A15" s="270">
        <v>50038</v>
      </c>
      <c r="B15" s="270" t="s">
        <v>929</v>
      </c>
      <c r="C15" s="270">
        <v>50</v>
      </c>
      <c r="D15" s="170" t="s">
        <v>51</v>
      </c>
    </row>
    <row r="16" spans="1:11" x14ac:dyDescent="0.3">
      <c r="A16" s="270">
        <v>50506</v>
      </c>
      <c r="B16" s="270" t="s">
        <v>930</v>
      </c>
      <c r="C16" s="270">
        <v>50</v>
      </c>
      <c r="D16" s="170" t="s">
        <v>51</v>
      </c>
    </row>
    <row r="17" spans="1:11" x14ac:dyDescent="0.3">
      <c r="A17" s="270">
        <v>50045</v>
      </c>
      <c r="B17" s="270" t="s">
        <v>931</v>
      </c>
      <c r="C17" s="270">
        <v>50</v>
      </c>
      <c r="D17" s="170" t="s">
        <v>51</v>
      </c>
    </row>
    <row r="18" spans="1:11" x14ac:dyDescent="0.3">
      <c r="A18" s="270">
        <v>50049</v>
      </c>
      <c r="B18" s="270" t="s">
        <v>932</v>
      </c>
      <c r="C18" s="270">
        <v>50</v>
      </c>
      <c r="D18" s="170" t="s">
        <v>51</v>
      </c>
    </row>
    <row r="19" spans="1:11" x14ac:dyDescent="0.3">
      <c r="A19" s="270">
        <v>50055</v>
      </c>
      <c r="B19" s="963" t="s">
        <v>1591</v>
      </c>
      <c r="C19" s="270">
        <v>50</v>
      </c>
      <c r="D19" s="170" t="s">
        <v>51</v>
      </c>
      <c r="K19" s="963"/>
    </row>
    <row r="20" spans="1:11" x14ac:dyDescent="0.3">
      <c r="A20" s="270">
        <v>50466</v>
      </c>
      <c r="B20" s="270" t="s">
        <v>1592</v>
      </c>
      <c r="C20" s="270">
        <v>50</v>
      </c>
      <c r="D20" s="170" t="s">
        <v>51</v>
      </c>
    </row>
    <row r="21" spans="1:11" x14ac:dyDescent="0.3">
      <c r="A21" s="270">
        <v>50069</v>
      </c>
      <c r="B21" s="270" t="s">
        <v>933</v>
      </c>
      <c r="C21" s="270">
        <v>50</v>
      </c>
      <c r="D21" s="170" t="s">
        <v>51</v>
      </c>
    </row>
    <row r="22" spans="1:11" x14ac:dyDescent="0.3">
      <c r="A22" s="270">
        <v>50467</v>
      </c>
      <c r="B22" s="270" t="s">
        <v>934</v>
      </c>
      <c r="C22" s="270">
        <v>50</v>
      </c>
      <c r="D22" s="170" t="s">
        <v>51</v>
      </c>
    </row>
    <row r="23" spans="1:11" x14ac:dyDescent="0.3">
      <c r="A23" s="270">
        <v>50510</v>
      </c>
      <c r="B23" s="270" t="s">
        <v>935</v>
      </c>
      <c r="C23" s="270">
        <v>50</v>
      </c>
      <c r="D23" s="170" t="s">
        <v>51</v>
      </c>
    </row>
    <row r="24" spans="1:11" x14ac:dyDescent="0.3">
      <c r="A24" s="270">
        <v>50078</v>
      </c>
      <c r="B24" s="270" t="s">
        <v>1593</v>
      </c>
      <c r="C24" s="270">
        <v>50</v>
      </c>
      <c r="D24" s="170" t="s">
        <v>51</v>
      </c>
    </row>
    <row r="25" spans="1:11" x14ac:dyDescent="0.3">
      <c r="A25" s="270">
        <v>50080</v>
      </c>
      <c r="B25" s="270" t="s">
        <v>1594</v>
      </c>
      <c r="C25" s="270">
        <v>50</v>
      </c>
      <c r="D25" s="170" t="s">
        <v>51</v>
      </c>
    </row>
    <row r="26" spans="1:11" x14ac:dyDescent="0.3">
      <c r="A26" s="270">
        <v>50468</v>
      </c>
      <c r="B26" s="963" t="s">
        <v>1595</v>
      </c>
      <c r="C26" s="270">
        <v>50</v>
      </c>
      <c r="D26" s="170" t="s">
        <v>51</v>
      </c>
      <c r="K26" s="963"/>
    </row>
    <row r="27" spans="1:11" x14ac:dyDescent="0.3">
      <c r="A27" s="270">
        <v>50086</v>
      </c>
      <c r="B27" s="270" t="s">
        <v>937</v>
      </c>
      <c r="C27" s="270">
        <v>50</v>
      </c>
      <c r="D27" s="170" t="s">
        <v>51</v>
      </c>
    </row>
    <row r="28" spans="1:11" x14ac:dyDescent="0.3">
      <c r="A28" s="270">
        <v>50087</v>
      </c>
      <c r="B28" s="270" t="s">
        <v>938</v>
      </c>
      <c r="C28" s="270">
        <v>50</v>
      </c>
      <c r="D28" s="170" t="s">
        <v>51</v>
      </c>
    </row>
    <row r="29" spans="1:11" x14ac:dyDescent="0.3">
      <c r="A29" s="270">
        <v>50091</v>
      </c>
      <c r="B29" s="963" t="s">
        <v>1596</v>
      </c>
      <c r="C29" s="270">
        <v>50</v>
      </c>
      <c r="D29" s="170" t="s">
        <v>51</v>
      </c>
      <c r="K29" s="963"/>
    </row>
    <row r="30" spans="1:11" x14ac:dyDescent="0.3">
      <c r="A30" s="270">
        <v>50098</v>
      </c>
      <c r="B30" s="270" t="s">
        <v>1597</v>
      </c>
      <c r="C30" s="270">
        <v>50</v>
      </c>
      <c r="D30" s="170" t="s">
        <v>51</v>
      </c>
    </row>
    <row r="31" spans="1:11" x14ac:dyDescent="0.3">
      <c r="A31" s="270">
        <v>50100</v>
      </c>
      <c r="B31" s="270" t="s">
        <v>1598</v>
      </c>
      <c r="C31" s="270">
        <v>50</v>
      </c>
      <c r="D31" s="170" t="s">
        <v>51</v>
      </c>
    </row>
    <row r="32" spans="1:11" x14ac:dyDescent="0.3">
      <c r="A32" s="270">
        <v>50513</v>
      </c>
      <c r="B32" s="270" t="s">
        <v>939</v>
      </c>
      <c r="C32" s="270">
        <v>50</v>
      </c>
      <c r="D32" s="170" t="s">
        <v>51</v>
      </c>
    </row>
    <row r="33" spans="1:11" x14ac:dyDescent="0.3">
      <c r="A33" s="270">
        <v>50106</v>
      </c>
      <c r="B33" s="270" t="s">
        <v>940</v>
      </c>
      <c r="C33" s="270">
        <v>50</v>
      </c>
      <c r="D33" s="170" t="s">
        <v>51</v>
      </c>
    </row>
    <row r="34" spans="1:11" x14ac:dyDescent="0.3">
      <c r="A34" s="270">
        <v>50472</v>
      </c>
      <c r="B34" s="270" t="s">
        <v>941</v>
      </c>
      <c r="C34" s="270">
        <v>50</v>
      </c>
      <c r="D34" s="170" t="s">
        <v>51</v>
      </c>
    </row>
    <row r="35" spans="1:11" x14ac:dyDescent="0.3">
      <c r="A35" s="270">
        <v>50112</v>
      </c>
      <c r="B35" s="270" t="s">
        <v>942</v>
      </c>
      <c r="C35" s="270">
        <v>50</v>
      </c>
      <c r="D35" s="170" t="s">
        <v>51</v>
      </c>
    </row>
    <row r="36" spans="1:11" x14ac:dyDescent="0.3">
      <c r="A36" s="270">
        <v>50113</v>
      </c>
      <c r="B36" s="270" t="s">
        <v>943</v>
      </c>
      <c r="C36" s="270">
        <v>50</v>
      </c>
      <c r="D36" s="170" t="s">
        <v>51</v>
      </c>
    </row>
    <row r="37" spans="1:11" x14ac:dyDescent="0.3">
      <c r="A37" s="270">
        <v>50116</v>
      </c>
      <c r="B37" s="963" t="s">
        <v>1599</v>
      </c>
      <c r="C37" s="270">
        <v>50</v>
      </c>
      <c r="D37" s="170" t="s">
        <v>51</v>
      </c>
      <c r="K37" s="963"/>
    </row>
    <row r="38" spans="1:11" x14ac:dyDescent="0.3">
      <c r="A38" s="270">
        <v>50121</v>
      </c>
      <c r="B38" s="270" t="s">
        <v>945</v>
      </c>
      <c r="C38" s="270">
        <v>50</v>
      </c>
      <c r="D38" s="170" t="s">
        <v>51</v>
      </c>
    </row>
    <row r="39" spans="1:11" x14ac:dyDescent="0.3">
      <c r="A39" s="270">
        <v>50122</v>
      </c>
      <c r="B39" s="270" t="s">
        <v>946</v>
      </c>
      <c r="C39" s="270">
        <v>50</v>
      </c>
      <c r="D39" s="170" t="s">
        <v>51</v>
      </c>
    </row>
    <row r="40" spans="1:11" x14ac:dyDescent="0.3">
      <c r="A40" s="270">
        <v>50125</v>
      </c>
      <c r="B40" s="270" t="s">
        <v>947</v>
      </c>
      <c r="C40" s="270">
        <v>50</v>
      </c>
      <c r="D40" s="170" t="s">
        <v>51</v>
      </c>
    </row>
    <row r="41" spans="1:11" x14ac:dyDescent="0.3">
      <c r="A41" s="270">
        <v>50126</v>
      </c>
      <c r="B41" s="963" t="s">
        <v>1600</v>
      </c>
      <c r="C41" s="270">
        <v>50</v>
      </c>
      <c r="D41" s="170" t="s">
        <v>51</v>
      </c>
      <c r="K41" s="963"/>
    </row>
    <row r="42" spans="1:11" x14ac:dyDescent="0.3">
      <c r="A42" s="270">
        <v>50127</v>
      </c>
      <c r="B42" s="270" t="s">
        <v>1601</v>
      </c>
      <c r="C42" s="270">
        <v>50</v>
      </c>
      <c r="D42" s="170" t="s">
        <v>51</v>
      </c>
    </row>
    <row r="43" spans="1:11" x14ac:dyDescent="0.3">
      <c r="A43" s="270">
        <v>50128</v>
      </c>
      <c r="B43" s="270" t="s">
        <v>949</v>
      </c>
      <c r="C43" s="270">
        <v>50</v>
      </c>
      <c r="D43" s="170" t="s">
        <v>51</v>
      </c>
    </row>
    <row r="44" spans="1:11" x14ac:dyDescent="0.3">
      <c r="A44" s="270">
        <v>50129</v>
      </c>
      <c r="B44" s="270" t="s">
        <v>950</v>
      </c>
      <c r="C44" s="270">
        <v>50</v>
      </c>
      <c r="D44" s="170" t="s">
        <v>51</v>
      </c>
    </row>
    <row r="45" spans="1:11" x14ac:dyDescent="0.3">
      <c r="A45" s="270">
        <v>50130</v>
      </c>
      <c r="B45" s="270" t="s">
        <v>951</v>
      </c>
      <c r="C45" s="270">
        <v>50</v>
      </c>
      <c r="D45" s="170" t="s">
        <v>51</v>
      </c>
    </row>
    <row r="46" spans="1:11" x14ac:dyDescent="0.3">
      <c r="A46" s="270">
        <v>50570</v>
      </c>
      <c r="B46" s="270" t="s">
        <v>952</v>
      </c>
      <c r="C46" s="270">
        <v>50</v>
      </c>
      <c r="D46" s="170" t="s">
        <v>51</v>
      </c>
    </row>
    <row r="47" spans="1:11" x14ac:dyDescent="0.3">
      <c r="A47" s="270">
        <v>50139</v>
      </c>
      <c r="B47" s="270" t="s">
        <v>954</v>
      </c>
      <c r="C47" s="270">
        <v>50</v>
      </c>
      <c r="D47" s="170" t="s">
        <v>51</v>
      </c>
    </row>
    <row r="48" spans="1:11" x14ac:dyDescent="0.3">
      <c r="A48" s="270">
        <v>50142</v>
      </c>
      <c r="B48" s="270" t="s">
        <v>955</v>
      </c>
      <c r="C48" s="270">
        <v>50</v>
      </c>
      <c r="D48" s="170" t="s">
        <v>51</v>
      </c>
    </row>
    <row r="49" spans="1:11" x14ac:dyDescent="0.3">
      <c r="A49" s="270">
        <v>50143</v>
      </c>
      <c r="B49" s="270" t="s">
        <v>956</v>
      </c>
      <c r="C49" s="270">
        <v>50</v>
      </c>
      <c r="D49" s="170" t="s">
        <v>51</v>
      </c>
    </row>
    <row r="50" spans="1:11" x14ac:dyDescent="0.3">
      <c r="A50" s="270">
        <v>50148</v>
      </c>
      <c r="B50" s="270" t="s">
        <v>755</v>
      </c>
      <c r="C50" s="270">
        <v>50</v>
      </c>
      <c r="D50" s="170" t="s">
        <v>51</v>
      </c>
    </row>
    <row r="51" spans="1:11" x14ac:dyDescent="0.3">
      <c r="A51" s="270">
        <v>50151</v>
      </c>
      <c r="B51" s="270" t="s">
        <v>1602</v>
      </c>
      <c r="C51" s="270">
        <v>50</v>
      </c>
      <c r="D51" s="170" t="s">
        <v>51</v>
      </c>
    </row>
    <row r="52" spans="1:11" x14ac:dyDescent="0.3">
      <c r="A52" s="270">
        <v>50153</v>
      </c>
      <c r="B52" s="270" t="s">
        <v>957</v>
      </c>
      <c r="C52" s="270">
        <v>50</v>
      </c>
      <c r="D52" s="170" t="s">
        <v>51</v>
      </c>
    </row>
    <row r="53" spans="1:11" x14ac:dyDescent="0.3">
      <c r="A53" s="270">
        <v>50154</v>
      </c>
      <c r="B53" s="270" t="s">
        <v>958</v>
      </c>
      <c r="C53" s="270">
        <v>50</v>
      </c>
      <c r="D53" s="170" t="s">
        <v>51</v>
      </c>
    </row>
    <row r="54" spans="1:11" x14ac:dyDescent="0.3">
      <c r="A54" s="270">
        <v>50517</v>
      </c>
      <c r="B54" s="963" t="s">
        <v>1603</v>
      </c>
      <c r="C54" s="270">
        <v>50</v>
      </c>
      <c r="D54" s="170" t="s">
        <v>51</v>
      </c>
      <c r="K54" s="963"/>
    </row>
    <row r="55" spans="1:11" x14ac:dyDescent="0.3">
      <c r="A55" s="270">
        <v>50448</v>
      </c>
      <c r="B55" s="270" t="s">
        <v>959</v>
      </c>
      <c r="C55" s="270">
        <v>50</v>
      </c>
      <c r="D55" s="170" t="s">
        <v>51</v>
      </c>
    </row>
    <row r="56" spans="1:11" x14ac:dyDescent="0.3">
      <c r="A56" s="270">
        <v>50163</v>
      </c>
      <c r="B56" s="270" t="s">
        <v>960</v>
      </c>
      <c r="C56" s="270">
        <v>50</v>
      </c>
      <c r="D56" s="170" t="s">
        <v>51</v>
      </c>
    </row>
    <row r="57" spans="1:11" x14ac:dyDescent="0.3">
      <c r="A57" s="270">
        <v>50165</v>
      </c>
      <c r="B57" s="270" t="s">
        <v>961</v>
      </c>
      <c r="C57" s="270">
        <v>50</v>
      </c>
      <c r="D57" s="170" t="s">
        <v>51</v>
      </c>
    </row>
    <row r="58" spans="1:11" x14ac:dyDescent="0.3">
      <c r="A58" s="270">
        <v>50166</v>
      </c>
      <c r="B58" s="270" t="s">
        <v>962</v>
      </c>
      <c r="C58" s="270">
        <v>50</v>
      </c>
      <c r="D58" s="170" t="s">
        <v>51</v>
      </c>
    </row>
    <row r="59" spans="1:11" x14ac:dyDescent="0.3">
      <c r="A59" s="270">
        <v>50167</v>
      </c>
      <c r="B59" s="270" t="s">
        <v>963</v>
      </c>
      <c r="C59" s="270">
        <v>50</v>
      </c>
      <c r="D59" s="170" t="s">
        <v>51</v>
      </c>
    </row>
    <row r="60" spans="1:11" x14ac:dyDescent="0.3">
      <c r="A60" s="270">
        <v>50171</v>
      </c>
      <c r="B60" s="963" t="s">
        <v>1604</v>
      </c>
      <c r="C60" s="270">
        <v>50</v>
      </c>
      <c r="D60" s="170" t="s">
        <v>51</v>
      </c>
      <c r="K60" s="963"/>
    </row>
    <row r="61" spans="1:11" x14ac:dyDescent="0.3">
      <c r="A61" s="270">
        <v>50440</v>
      </c>
      <c r="B61" s="270" t="s">
        <v>1605</v>
      </c>
      <c r="C61" s="270">
        <v>50</v>
      </c>
      <c r="D61" s="170" t="s">
        <v>51</v>
      </c>
    </row>
    <row r="62" spans="1:11" x14ac:dyDescent="0.3">
      <c r="A62" s="270">
        <v>50175</v>
      </c>
      <c r="B62" s="963" t="s">
        <v>756</v>
      </c>
      <c r="C62" s="270">
        <v>50</v>
      </c>
      <c r="D62" s="170" t="s">
        <v>51</v>
      </c>
      <c r="K62" s="963"/>
    </row>
    <row r="63" spans="1:11" x14ac:dyDescent="0.3">
      <c r="A63" s="270">
        <v>50177</v>
      </c>
      <c r="B63" s="963" t="s">
        <v>1606</v>
      </c>
      <c r="C63" s="270">
        <v>50</v>
      </c>
      <c r="D63" s="170" t="s">
        <v>51</v>
      </c>
      <c r="K63" s="963"/>
    </row>
    <row r="64" spans="1:11" x14ac:dyDescent="0.3">
      <c r="A64" s="270">
        <v>50183</v>
      </c>
      <c r="B64" s="270" t="s">
        <v>964</v>
      </c>
      <c r="C64" s="270">
        <v>50</v>
      </c>
      <c r="D64" s="170" t="s">
        <v>51</v>
      </c>
    </row>
    <row r="65" spans="1:11" x14ac:dyDescent="0.3">
      <c r="A65" s="270">
        <v>50184</v>
      </c>
      <c r="B65" s="270" t="s">
        <v>965</v>
      </c>
      <c r="C65" s="270">
        <v>50</v>
      </c>
      <c r="D65" s="170" t="s">
        <v>51</v>
      </c>
    </row>
    <row r="66" spans="1:11" x14ac:dyDescent="0.3">
      <c r="A66" s="270">
        <v>50186</v>
      </c>
      <c r="B66" s="270" t="s">
        <v>966</v>
      </c>
      <c r="C66" s="270">
        <v>50</v>
      </c>
      <c r="D66" s="170" t="s">
        <v>51</v>
      </c>
    </row>
    <row r="67" spans="1:11" x14ac:dyDescent="0.3">
      <c r="A67" s="270">
        <v>50476</v>
      </c>
      <c r="B67" s="270" t="s">
        <v>833</v>
      </c>
      <c r="C67" s="270">
        <v>50</v>
      </c>
      <c r="D67" s="170" t="s">
        <v>51</v>
      </c>
    </row>
    <row r="68" spans="1:11" x14ac:dyDescent="0.3">
      <c r="A68" s="270">
        <v>50192</v>
      </c>
      <c r="B68" s="270" t="s">
        <v>834</v>
      </c>
      <c r="C68" s="270">
        <v>50</v>
      </c>
      <c r="D68" s="170" t="s">
        <v>51</v>
      </c>
    </row>
    <row r="69" spans="1:11" x14ac:dyDescent="0.3">
      <c r="A69" s="270">
        <v>50518</v>
      </c>
      <c r="B69" s="270" t="s">
        <v>835</v>
      </c>
      <c r="C69" s="270">
        <v>50</v>
      </c>
      <c r="D69" s="170" t="s">
        <v>51</v>
      </c>
    </row>
    <row r="70" spans="1:11" x14ac:dyDescent="0.3">
      <c r="A70" s="270">
        <v>50231</v>
      </c>
      <c r="B70" s="270" t="s">
        <v>836</v>
      </c>
      <c r="C70" s="270">
        <v>50</v>
      </c>
      <c r="D70" s="170" t="s">
        <v>51</v>
      </c>
    </row>
    <row r="71" spans="1:11" x14ac:dyDescent="0.3">
      <c r="A71" s="270">
        <v>50235</v>
      </c>
      <c r="B71" s="270" t="s">
        <v>838</v>
      </c>
      <c r="C71" s="270">
        <v>50</v>
      </c>
      <c r="D71" s="170" t="s">
        <v>51</v>
      </c>
    </row>
    <row r="72" spans="1:11" x14ac:dyDescent="0.3">
      <c r="A72" s="270">
        <v>50233</v>
      </c>
      <c r="B72" s="270" t="s">
        <v>837</v>
      </c>
      <c r="C72" s="270">
        <v>50</v>
      </c>
      <c r="D72" s="170" t="s">
        <v>51</v>
      </c>
    </row>
    <row r="73" spans="1:11" x14ac:dyDescent="0.3">
      <c r="A73" s="270">
        <v>50236</v>
      </c>
      <c r="B73" s="270" t="s">
        <v>839</v>
      </c>
      <c r="C73" s="270">
        <v>50</v>
      </c>
      <c r="D73" s="170" t="s">
        <v>51</v>
      </c>
    </row>
    <row r="74" spans="1:11" x14ac:dyDescent="0.3">
      <c r="A74" s="270">
        <v>50239</v>
      </c>
      <c r="B74" s="270" t="s">
        <v>840</v>
      </c>
      <c r="C74" s="270">
        <v>50</v>
      </c>
      <c r="D74" s="170" t="s">
        <v>51</v>
      </c>
    </row>
    <row r="75" spans="1:11" x14ac:dyDescent="0.3">
      <c r="A75" s="270">
        <v>50249</v>
      </c>
      <c r="B75" s="270" t="s">
        <v>841</v>
      </c>
      <c r="C75" s="270">
        <v>50</v>
      </c>
      <c r="D75" s="170" t="s">
        <v>51</v>
      </c>
    </row>
    <row r="76" spans="1:11" x14ac:dyDescent="0.3">
      <c r="A76" s="270">
        <v>50254</v>
      </c>
      <c r="B76" s="270" t="s">
        <v>1607</v>
      </c>
      <c r="C76" s="270">
        <v>50</v>
      </c>
      <c r="D76" s="170" t="s">
        <v>51</v>
      </c>
    </row>
    <row r="77" spans="1:11" x14ac:dyDescent="0.3">
      <c r="A77" s="270">
        <v>50255</v>
      </c>
      <c r="B77" s="963" t="s">
        <v>1608</v>
      </c>
      <c r="C77" s="270">
        <v>50</v>
      </c>
      <c r="D77" s="170" t="s">
        <v>51</v>
      </c>
      <c r="K77" s="963"/>
    </row>
    <row r="78" spans="1:11" x14ac:dyDescent="0.3">
      <c r="A78" s="270">
        <v>50257</v>
      </c>
      <c r="B78" s="270" t="s">
        <v>969</v>
      </c>
      <c r="C78" s="270">
        <v>50</v>
      </c>
      <c r="D78" s="170" t="s">
        <v>51</v>
      </c>
    </row>
    <row r="79" spans="1:11" x14ac:dyDescent="0.3">
      <c r="A79" s="270">
        <v>50452</v>
      </c>
      <c r="B79" s="963" t="s">
        <v>1609</v>
      </c>
      <c r="C79" s="270">
        <v>50</v>
      </c>
      <c r="D79" s="170" t="s">
        <v>51</v>
      </c>
      <c r="K79" s="963"/>
    </row>
    <row r="80" spans="1:11" x14ac:dyDescent="0.3">
      <c r="A80" s="270">
        <v>50260</v>
      </c>
      <c r="B80" s="270" t="s">
        <v>970</v>
      </c>
      <c r="C80" s="270">
        <v>50</v>
      </c>
      <c r="D80" s="170" t="s">
        <v>51</v>
      </c>
    </row>
    <row r="81" spans="1:11" x14ac:dyDescent="0.3">
      <c r="A81" s="270">
        <v>50268</v>
      </c>
      <c r="B81" s="963" t="s">
        <v>1610</v>
      </c>
      <c r="C81" s="270">
        <v>50</v>
      </c>
      <c r="D81" s="170" t="s">
        <v>51</v>
      </c>
      <c r="K81" s="963"/>
    </row>
    <row r="82" spans="1:11" x14ac:dyDescent="0.3">
      <c r="A82" s="270">
        <v>50269</v>
      </c>
      <c r="B82" s="270" t="s">
        <v>971</v>
      </c>
      <c r="C82" s="270">
        <v>50</v>
      </c>
      <c r="D82" s="170" t="s">
        <v>51</v>
      </c>
    </row>
    <row r="83" spans="1:11" x14ac:dyDescent="0.3">
      <c r="A83" s="270">
        <v>50480</v>
      </c>
      <c r="B83" s="270" t="s">
        <v>972</v>
      </c>
      <c r="C83" s="270">
        <v>50</v>
      </c>
      <c r="D83" s="170" t="s">
        <v>51</v>
      </c>
    </row>
    <row r="84" spans="1:11" x14ac:dyDescent="0.3">
      <c r="A84" s="270">
        <v>50278</v>
      </c>
      <c r="B84" s="270" t="s">
        <v>973</v>
      </c>
      <c r="C84" s="270">
        <v>50</v>
      </c>
      <c r="D84" s="170" t="s">
        <v>51</v>
      </c>
    </row>
    <row r="85" spans="1:11" x14ac:dyDescent="0.3">
      <c r="A85" s="270">
        <v>50280</v>
      </c>
      <c r="B85" s="270" t="s">
        <v>974</v>
      </c>
      <c r="C85" s="270">
        <v>50</v>
      </c>
      <c r="D85" s="170" t="s">
        <v>51</v>
      </c>
    </row>
    <row r="86" spans="1:11" x14ac:dyDescent="0.3">
      <c r="A86" s="270">
        <v>50281</v>
      </c>
      <c r="B86" s="270" t="s">
        <v>975</v>
      </c>
      <c r="C86" s="270">
        <v>50</v>
      </c>
      <c r="D86" s="170" t="s">
        <v>51</v>
      </c>
    </row>
    <row r="87" spans="1:11" x14ac:dyDescent="0.3">
      <c r="A87" s="270">
        <v>50478</v>
      </c>
      <c r="B87" s="270" t="s">
        <v>976</v>
      </c>
      <c r="C87" s="270">
        <v>50</v>
      </c>
      <c r="D87" s="170" t="s">
        <v>51</v>
      </c>
    </row>
    <row r="88" spans="1:11" x14ac:dyDescent="0.3">
      <c r="A88" s="270">
        <v>50283</v>
      </c>
      <c r="B88" s="270" t="s">
        <v>978</v>
      </c>
      <c r="C88" s="270">
        <v>50</v>
      </c>
      <c r="D88" s="170" t="s">
        <v>51</v>
      </c>
    </row>
    <row r="89" spans="1:11" x14ac:dyDescent="0.3">
      <c r="A89" s="270">
        <v>50285</v>
      </c>
      <c r="B89" s="270" t="s">
        <v>979</v>
      </c>
      <c r="C89" s="270">
        <v>50</v>
      </c>
      <c r="D89" s="170" t="s">
        <v>51</v>
      </c>
    </row>
    <row r="90" spans="1:11" x14ac:dyDescent="0.3">
      <c r="A90" s="270">
        <v>50296</v>
      </c>
      <c r="B90" s="270" t="s">
        <v>982</v>
      </c>
      <c r="C90" s="270">
        <v>50</v>
      </c>
      <c r="D90" s="170" t="s">
        <v>51</v>
      </c>
    </row>
    <row r="91" spans="1:11" x14ac:dyDescent="0.3">
      <c r="A91" s="270">
        <v>50297</v>
      </c>
      <c r="B91" s="270" t="s">
        <v>983</v>
      </c>
      <c r="C91" s="270">
        <v>50</v>
      </c>
      <c r="D91" s="170" t="s">
        <v>51</v>
      </c>
    </row>
    <row r="92" spans="1:11" x14ac:dyDescent="0.3">
      <c r="A92" s="270">
        <v>50305</v>
      </c>
      <c r="B92" s="963" t="s">
        <v>1611</v>
      </c>
      <c r="C92" s="270">
        <v>50</v>
      </c>
      <c r="D92" s="170" t="s">
        <v>51</v>
      </c>
      <c r="K92" s="963"/>
    </row>
    <row r="93" spans="1:11" x14ac:dyDescent="0.3">
      <c r="A93" s="270">
        <v>50479</v>
      </c>
      <c r="B93" s="270" t="s">
        <v>984</v>
      </c>
      <c r="C93" s="270">
        <v>50</v>
      </c>
      <c r="D93" s="170" t="s">
        <v>51</v>
      </c>
    </row>
    <row r="94" spans="1:11" x14ac:dyDescent="0.3">
      <c r="A94" s="270">
        <v>50307</v>
      </c>
      <c r="B94" s="270" t="s">
        <v>985</v>
      </c>
      <c r="C94" s="270">
        <v>50</v>
      </c>
      <c r="D94" s="170" t="s">
        <v>51</v>
      </c>
    </row>
    <row r="95" spans="1:11" x14ac:dyDescent="0.3">
      <c r="A95" s="270">
        <v>50310</v>
      </c>
      <c r="B95" s="270" t="s">
        <v>986</v>
      </c>
      <c r="C95" s="270">
        <v>50</v>
      </c>
      <c r="D95" s="170" t="s">
        <v>51</v>
      </c>
    </row>
    <row r="96" spans="1:11" x14ac:dyDescent="0.3">
      <c r="A96" s="270">
        <v>50311</v>
      </c>
      <c r="B96" s="270" t="s">
        <v>987</v>
      </c>
      <c r="C96" s="270">
        <v>50</v>
      </c>
      <c r="D96" s="170" t="s">
        <v>51</v>
      </c>
    </row>
    <row r="97" spans="1:11" x14ac:dyDescent="0.3">
      <c r="A97" s="270">
        <v>50314</v>
      </c>
      <c r="B97" s="270" t="s">
        <v>988</v>
      </c>
      <c r="C97" s="270">
        <v>50</v>
      </c>
      <c r="D97" s="170" t="s">
        <v>51</v>
      </c>
    </row>
    <row r="98" spans="1:11" x14ac:dyDescent="0.3">
      <c r="A98" s="270">
        <v>50316</v>
      </c>
      <c r="B98" s="270" t="s">
        <v>989</v>
      </c>
      <c r="C98" s="270">
        <v>50</v>
      </c>
      <c r="D98" s="170" t="s">
        <v>51</v>
      </c>
    </row>
    <row r="99" spans="1:11" x14ac:dyDescent="0.3">
      <c r="A99" s="270">
        <v>50318</v>
      </c>
      <c r="B99" s="270" t="s">
        <v>990</v>
      </c>
      <c r="C99" s="270">
        <v>50</v>
      </c>
      <c r="D99" s="170" t="s">
        <v>51</v>
      </c>
    </row>
    <row r="100" spans="1:11" x14ac:dyDescent="0.3">
      <c r="A100" s="270">
        <v>50323</v>
      </c>
      <c r="B100" s="270" t="s">
        <v>991</v>
      </c>
      <c r="C100" s="270">
        <v>50</v>
      </c>
      <c r="D100" s="170" t="s">
        <v>51</v>
      </c>
    </row>
    <row r="101" spans="1:11" x14ac:dyDescent="0.3">
      <c r="A101" s="270">
        <v>50321</v>
      </c>
      <c r="B101" s="270" t="s">
        <v>1612</v>
      </c>
      <c r="C101" s="270">
        <v>50</v>
      </c>
      <c r="D101" s="170" t="s">
        <v>51</v>
      </c>
    </row>
    <row r="102" spans="1:11" x14ac:dyDescent="0.3">
      <c r="A102" s="270">
        <v>50325</v>
      </c>
      <c r="B102" s="270" t="s">
        <v>992</v>
      </c>
      <c r="C102" s="270">
        <v>50</v>
      </c>
      <c r="D102" s="170" t="s">
        <v>51</v>
      </c>
    </row>
    <row r="103" spans="1:11" x14ac:dyDescent="0.3">
      <c r="A103" s="270">
        <v>50327</v>
      </c>
      <c r="B103" s="270" t="s">
        <v>993</v>
      </c>
      <c r="C103" s="270">
        <v>50</v>
      </c>
      <c r="D103" s="170" t="s">
        <v>51</v>
      </c>
    </row>
    <row r="104" spans="1:11" x14ac:dyDescent="0.3">
      <c r="A104" s="270">
        <v>50328</v>
      </c>
      <c r="B104" s="270" t="s">
        <v>762</v>
      </c>
      <c r="C104" s="270">
        <v>50</v>
      </c>
      <c r="D104" s="170" t="s">
        <v>51</v>
      </c>
    </row>
    <row r="105" spans="1:11" x14ac:dyDescent="0.3">
      <c r="A105" s="270">
        <v>50332</v>
      </c>
      <c r="B105" s="270" t="s">
        <v>994</v>
      </c>
      <c r="C105" s="270">
        <v>50</v>
      </c>
      <c r="D105" s="170" t="s">
        <v>51</v>
      </c>
    </row>
    <row r="106" spans="1:11" x14ac:dyDescent="0.3">
      <c r="A106" s="270">
        <v>50334</v>
      </c>
      <c r="B106" s="963" t="s">
        <v>1613</v>
      </c>
      <c r="C106" s="270">
        <v>50</v>
      </c>
      <c r="D106" s="170" t="s">
        <v>51</v>
      </c>
      <c r="K106" s="963"/>
    </row>
    <row r="107" spans="1:11" x14ac:dyDescent="0.3">
      <c r="A107" s="270">
        <v>50336</v>
      </c>
      <c r="B107" s="270" t="s">
        <v>1614</v>
      </c>
      <c r="C107" s="270">
        <v>50</v>
      </c>
      <c r="D107" s="170" t="s">
        <v>51</v>
      </c>
    </row>
    <row r="108" spans="1:11" x14ac:dyDescent="0.3">
      <c r="A108" s="270">
        <v>50337</v>
      </c>
      <c r="B108" s="963" t="s">
        <v>1615</v>
      </c>
      <c r="C108" s="270">
        <v>50</v>
      </c>
      <c r="D108" s="170" t="s">
        <v>51</v>
      </c>
      <c r="K108" s="963"/>
    </row>
    <row r="109" spans="1:11" x14ac:dyDescent="0.3">
      <c r="A109" s="270">
        <v>50338</v>
      </c>
      <c r="B109" s="963" t="s">
        <v>1616</v>
      </c>
      <c r="C109" s="270">
        <v>50</v>
      </c>
      <c r="D109" s="170" t="s">
        <v>51</v>
      </c>
      <c r="K109" s="963"/>
    </row>
    <row r="110" spans="1:11" x14ac:dyDescent="0.3">
      <c r="A110" s="270">
        <v>50340</v>
      </c>
      <c r="B110" s="270" t="s">
        <v>1617</v>
      </c>
      <c r="C110" s="270">
        <v>50</v>
      </c>
      <c r="D110" s="170" t="s">
        <v>51</v>
      </c>
    </row>
    <row r="111" spans="1:11" x14ac:dyDescent="0.3">
      <c r="A111" s="270">
        <v>50343</v>
      </c>
      <c r="B111" s="270" t="s">
        <v>995</v>
      </c>
      <c r="C111" s="270">
        <v>50</v>
      </c>
      <c r="D111" s="170" t="s">
        <v>51</v>
      </c>
    </row>
    <row r="112" spans="1:11" x14ac:dyDescent="0.3">
      <c r="A112" s="270">
        <v>50348</v>
      </c>
      <c r="B112" s="270" t="s">
        <v>997</v>
      </c>
      <c r="C112" s="270">
        <v>50</v>
      </c>
      <c r="D112" s="170" t="s">
        <v>51</v>
      </c>
    </row>
    <row r="113" spans="1:11" x14ac:dyDescent="0.3">
      <c r="A113" s="270">
        <v>50541</v>
      </c>
      <c r="B113" s="270" t="s">
        <v>998</v>
      </c>
      <c r="C113" s="270">
        <v>50</v>
      </c>
      <c r="D113" s="170" t="s">
        <v>51</v>
      </c>
    </row>
    <row r="114" spans="1:11" x14ac:dyDescent="0.3">
      <c r="A114" s="270">
        <v>50355</v>
      </c>
      <c r="B114" s="270" t="s">
        <v>999</v>
      </c>
      <c r="C114" s="270">
        <v>50</v>
      </c>
      <c r="D114" s="170" t="s">
        <v>51</v>
      </c>
    </row>
    <row r="115" spans="1:11" x14ac:dyDescent="0.3">
      <c r="A115" s="270">
        <v>50357</v>
      </c>
      <c r="B115" s="963" t="s">
        <v>1618</v>
      </c>
      <c r="C115" s="270">
        <v>50</v>
      </c>
      <c r="D115" s="170" t="s">
        <v>51</v>
      </c>
      <c r="K115" s="963"/>
    </row>
    <row r="116" spans="1:11" x14ac:dyDescent="0.3">
      <c r="A116" s="270">
        <v>50360</v>
      </c>
      <c r="B116" s="270" t="s">
        <v>1000</v>
      </c>
      <c r="C116" s="270">
        <v>50</v>
      </c>
      <c r="D116" s="170" t="s">
        <v>51</v>
      </c>
    </row>
    <row r="117" spans="1:11" x14ac:dyDescent="0.3">
      <c r="A117" s="270">
        <v>50370</v>
      </c>
      <c r="B117" s="270" t="s">
        <v>1001</v>
      </c>
      <c r="C117" s="270">
        <v>50</v>
      </c>
      <c r="D117" s="170" t="s">
        <v>51</v>
      </c>
    </row>
    <row r="118" spans="1:11" x14ac:dyDescent="0.3">
      <c r="A118" s="270">
        <v>50374</v>
      </c>
      <c r="B118" s="270" t="s">
        <v>1619</v>
      </c>
      <c r="C118" s="270">
        <v>50</v>
      </c>
      <c r="D118" s="170" t="s">
        <v>51</v>
      </c>
    </row>
    <row r="119" spans="1:11" x14ac:dyDescent="0.3">
      <c r="A119" s="270">
        <v>50483</v>
      </c>
      <c r="B119" s="270" t="s">
        <v>1620</v>
      </c>
      <c r="C119" s="270">
        <v>50</v>
      </c>
      <c r="D119" s="170" t="s">
        <v>51</v>
      </c>
    </row>
    <row r="120" spans="1:11" x14ac:dyDescent="0.3">
      <c r="A120" s="270">
        <v>50386</v>
      </c>
      <c r="B120" s="270" t="s">
        <v>1621</v>
      </c>
      <c r="C120" s="270">
        <v>50</v>
      </c>
      <c r="D120" s="170" t="s">
        <v>51</v>
      </c>
    </row>
    <row r="121" spans="1:11" x14ac:dyDescent="0.3">
      <c r="A121" s="270">
        <v>50389</v>
      </c>
      <c r="B121" s="270" t="s">
        <v>1003</v>
      </c>
      <c r="C121" s="270">
        <v>50</v>
      </c>
      <c r="D121" s="170" t="s">
        <v>51</v>
      </c>
    </row>
    <row r="122" spans="1:11" x14ac:dyDescent="0.3">
      <c r="A122" s="270">
        <v>50500</v>
      </c>
      <c r="B122" s="270" t="s">
        <v>1004</v>
      </c>
      <c r="C122" s="270">
        <v>50</v>
      </c>
      <c r="D122" s="170" t="s">
        <v>51</v>
      </c>
    </row>
    <row r="123" spans="1:11" x14ac:dyDescent="0.3">
      <c r="A123" s="270">
        <v>50390</v>
      </c>
      <c r="B123" s="963" t="s">
        <v>1622</v>
      </c>
      <c r="C123" s="270">
        <v>50</v>
      </c>
      <c r="D123" s="170" t="s">
        <v>51</v>
      </c>
      <c r="K123" s="963"/>
    </row>
    <row r="124" spans="1:11" x14ac:dyDescent="0.3">
      <c r="A124" s="270">
        <v>50396</v>
      </c>
      <c r="B124" s="270" t="s">
        <v>1005</v>
      </c>
      <c r="C124" s="270">
        <v>50</v>
      </c>
      <c r="D124" s="170" t="s">
        <v>51</v>
      </c>
    </row>
    <row r="125" spans="1:11" x14ac:dyDescent="0.3">
      <c r="A125" s="270">
        <v>50399</v>
      </c>
      <c r="B125" s="270" t="s">
        <v>1007</v>
      </c>
      <c r="C125" s="270">
        <v>50</v>
      </c>
      <c r="D125" s="170" t="s">
        <v>51</v>
      </c>
    </row>
    <row r="126" spans="1:11" x14ac:dyDescent="0.3">
      <c r="A126" s="270">
        <v>50401</v>
      </c>
      <c r="B126" s="270" t="s">
        <v>1008</v>
      </c>
      <c r="C126" s="270">
        <v>50</v>
      </c>
      <c r="D126" s="170" t="s">
        <v>51</v>
      </c>
    </row>
    <row r="127" spans="1:11" x14ac:dyDescent="0.3">
      <c r="A127" s="270">
        <v>50402</v>
      </c>
      <c r="B127" s="963" t="s">
        <v>1623</v>
      </c>
      <c r="C127" s="270">
        <v>50</v>
      </c>
      <c r="D127" s="170" t="s">
        <v>51</v>
      </c>
      <c r="K127" s="963"/>
    </row>
    <row r="128" spans="1:11" x14ac:dyDescent="0.3">
      <c r="A128" s="270">
        <v>50486</v>
      </c>
      <c r="B128" s="270" t="s">
        <v>1624</v>
      </c>
      <c r="C128" s="270">
        <v>50</v>
      </c>
      <c r="D128" s="170" t="s">
        <v>51</v>
      </c>
    </row>
    <row r="129" spans="1:11" x14ac:dyDescent="0.3">
      <c r="A129" s="270">
        <v>50409</v>
      </c>
      <c r="B129" s="270" t="s">
        <v>1625</v>
      </c>
      <c r="C129" s="270">
        <v>50</v>
      </c>
      <c r="D129" s="170" t="s">
        <v>51</v>
      </c>
    </row>
    <row r="130" spans="1:11" x14ac:dyDescent="0.3">
      <c r="A130" s="270">
        <v>50420</v>
      </c>
      <c r="B130" s="270" t="s">
        <v>1009</v>
      </c>
      <c r="C130" s="270">
        <v>50</v>
      </c>
      <c r="D130" s="170" t="s">
        <v>51</v>
      </c>
    </row>
    <row r="131" spans="1:11" x14ac:dyDescent="0.3">
      <c r="A131" s="270">
        <v>50421</v>
      </c>
      <c r="B131" s="963" t="s">
        <v>1626</v>
      </c>
      <c r="C131" s="270">
        <v>50</v>
      </c>
      <c r="D131" s="170" t="s">
        <v>51</v>
      </c>
      <c r="K131" s="963"/>
    </row>
    <row r="132" spans="1:11" x14ac:dyDescent="0.3">
      <c r="A132" s="270">
        <v>50423</v>
      </c>
      <c r="B132" s="270" t="s">
        <v>1010</v>
      </c>
      <c r="C132" s="270">
        <v>50</v>
      </c>
      <c r="D132" s="170" t="s">
        <v>51</v>
      </c>
    </row>
    <row r="133" spans="1:11" x14ac:dyDescent="0.3">
      <c r="A133" s="270">
        <v>50432</v>
      </c>
      <c r="B133" s="963" t="s">
        <v>1627</v>
      </c>
      <c r="C133" s="270">
        <v>50</v>
      </c>
      <c r="D133" s="170" t="s">
        <v>51</v>
      </c>
      <c r="K133" s="963"/>
    </row>
    <row r="134" spans="1:11" x14ac:dyDescent="0.3">
      <c r="A134" s="270">
        <v>50499</v>
      </c>
      <c r="B134" s="963" t="s">
        <v>1628</v>
      </c>
      <c r="C134" s="270">
        <v>50</v>
      </c>
      <c r="D134" s="170" t="s">
        <v>51</v>
      </c>
      <c r="K134" s="963"/>
    </row>
    <row r="135" spans="1:11" x14ac:dyDescent="0.3">
      <c r="A135" s="270">
        <v>5103</v>
      </c>
      <c r="B135" s="270" t="s">
        <v>921</v>
      </c>
      <c r="C135" s="270">
        <v>51</v>
      </c>
      <c r="D135" s="170" t="s">
        <v>51</v>
      </c>
    </row>
    <row r="136" spans="1:11" x14ac:dyDescent="0.3">
      <c r="A136" s="270">
        <v>5107</v>
      </c>
      <c r="B136" s="270" t="s">
        <v>927</v>
      </c>
      <c r="C136" s="270">
        <v>51</v>
      </c>
      <c r="D136" s="170" t="s">
        <v>51</v>
      </c>
    </row>
    <row r="137" spans="1:11" x14ac:dyDescent="0.3">
      <c r="A137" s="270">
        <v>5116</v>
      </c>
      <c r="B137" s="963" t="s">
        <v>1629</v>
      </c>
      <c r="C137" s="270">
        <v>51</v>
      </c>
      <c r="D137" s="170" t="s">
        <v>51</v>
      </c>
      <c r="K137" s="963"/>
    </row>
    <row r="138" spans="1:11" x14ac:dyDescent="0.3">
      <c r="A138" s="270">
        <v>5119</v>
      </c>
      <c r="B138" s="963" t="s">
        <v>1630</v>
      </c>
      <c r="C138" s="270">
        <v>51</v>
      </c>
      <c r="D138" s="170" t="s">
        <v>51</v>
      </c>
      <c r="K138" s="963"/>
    </row>
    <row r="139" spans="1:11" x14ac:dyDescent="0.3">
      <c r="A139" s="270">
        <v>5123</v>
      </c>
      <c r="B139" s="270" t="s">
        <v>1631</v>
      </c>
      <c r="C139" s="270">
        <v>51</v>
      </c>
      <c r="D139" s="170" t="s">
        <v>51</v>
      </c>
    </row>
    <row r="140" spans="1:11" x14ac:dyDescent="0.3">
      <c r="A140" s="270">
        <v>5129</v>
      </c>
      <c r="B140" s="963" t="s">
        <v>1632</v>
      </c>
      <c r="C140" s="270">
        <v>51</v>
      </c>
      <c r="D140" s="170" t="s">
        <v>51</v>
      </c>
      <c r="K140" s="963"/>
    </row>
    <row r="141" spans="1:11" x14ac:dyDescent="0.3">
      <c r="A141" s="270">
        <v>5132</v>
      </c>
      <c r="B141" s="270" t="s">
        <v>944</v>
      </c>
      <c r="C141" s="270">
        <v>51</v>
      </c>
      <c r="D141" s="170" t="s">
        <v>51</v>
      </c>
    </row>
    <row r="142" spans="1:11" x14ac:dyDescent="0.3">
      <c r="A142" s="270">
        <v>5137</v>
      </c>
      <c r="B142" s="270" t="s">
        <v>1633</v>
      </c>
      <c r="C142" s="270">
        <v>51</v>
      </c>
      <c r="D142" s="170" t="s">
        <v>51</v>
      </c>
    </row>
    <row r="143" spans="1:11" x14ac:dyDescent="0.3">
      <c r="A143" s="270">
        <v>5147</v>
      </c>
      <c r="B143" s="270" t="s">
        <v>967</v>
      </c>
      <c r="C143" s="270">
        <v>51</v>
      </c>
      <c r="D143" s="170" t="s">
        <v>51</v>
      </c>
    </row>
    <row r="144" spans="1:11" x14ac:dyDescent="0.3">
      <c r="A144" s="270">
        <v>5156</v>
      </c>
      <c r="B144" s="270" t="s">
        <v>968</v>
      </c>
      <c r="C144" s="270">
        <v>51</v>
      </c>
      <c r="D144" s="170" t="s">
        <v>51</v>
      </c>
    </row>
    <row r="145" spans="1:11" x14ac:dyDescent="0.3">
      <c r="A145" s="270">
        <v>5157</v>
      </c>
      <c r="B145" s="270" t="s">
        <v>1634</v>
      </c>
      <c r="C145" s="270">
        <v>51</v>
      </c>
      <c r="D145" s="170" t="s">
        <v>51</v>
      </c>
    </row>
    <row r="146" spans="1:11" x14ac:dyDescent="0.3">
      <c r="A146" s="270">
        <v>5165</v>
      </c>
      <c r="B146" s="270" t="s">
        <v>977</v>
      </c>
      <c r="C146" s="270">
        <v>51</v>
      </c>
      <c r="D146" s="170" t="s">
        <v>51</v>
      </c>
    </row>
    <row r="147" spans="1:11" x14ac:dyDescent="0.3">
      <c r="A147" s="270">
        <v>5167</v>
      </c>
      <c r="B147" s="270" t="s">
        <v>980</v>
      </c>
      <c r="C147" s="270">
        <v>51</v>
      </c>
      <c r="D147" s="170" t="s">
        <v>51</v>
      </c>
    </row>
    <row r="148" spans="1:11" x14ac:dyDescent="0.3">
      <c r="A148" s="270">
        <v>5170</v>
      </c>
      <c r="B148" s="270" t="s">
        <v>981</v>
      </c>
      <c r="C148" s="270">
        <v>51</v>
      </c>
      <c r="D148" s="170" t="s">
        <v>51</v>
      </c>
    </row>
    <row r="149" spans="1:11" x14ac:dyDescent="0.3">
      <c r="A149" s="270">
        <v>5172</v>
      </c>
      <c r="B149" s="270" t="s">
        <v>1635</v>
      </c>
      <c r="C149" s="270">
        <v>51</v>
      </c>
      <c r="D149" s="170" t="s">
        <v>51</v>
      </c>
    </row>
    <row r="150" spans="1:11" x14ac:dyDescent="0.3">
      <c r="A150" s="270">
        <v>5182</v>
      </c>
      <c r="B150" s="270" t="s">
        <v>996</v>
      </c>
      <c r="C150" s="270">
        <v>51</v>
      </c>
      <c r="D150" s="170" t="s">
        <v>51</v>
      </c>
    </row>
    <row r="151" spans="1:11" x14ac:dyDescent="0.3">
      <c r="A151" s="270">
        <v>5188</v>
      </c>
      <c r="B151" s="270" t="s">
        <v>1006</v>
      </c>
      <c r="C151" s="270">
        <v>51</v>
      </c>
      <c r="D151" s="170" t="s">
        <v>51</v>
      </c>
    </row>
    <row r="152" spans="1:11" x14ac:dyDescent="0.3">
      <c r="A152" s="270">
        <v>591706</v>
      </c>
      <c r="B152" s="964" t="s">
        <v>1636</v>
      </c>
      <c r="C152" s="270">
        <v>59</v>
      </c>
      <c r="D152" s="170" t="s">
        <v>51</v>
      </c>
      <c r="K152" s="964"/>
    </row>
    <row r="153" spans="1:11" x14ac:dyDescent="0.3">
      <c r="A153" s="270">
        <v>591612</v>
      </c>
      <c r="B153" s="964" t="s">
        <v>1637</v>
      </c>
      <c r="C153" s="270">
        <v>59</v>
      </c>
      <c r="D153" s="170" t="s">
        <v>51</v>
      </c>
      <c r="K153" s="964"/>
    </row>
    <row r="154" spans="1:11" x14ac:dyDescent="0.3">
      <c r="A154" s="270">
        <v>591604</v>
      </c>
      <c r="B154" s="270" t="s">
        <v>936</v>
      </c>
      <c r="C154" s="270">
        <v>59</v>
      </c>
      <c r="D154" s="170" t="s">
        <v>51</v>
      </c>
    </row>
    <row r="155" spans="1:11" x14ac:dyDescent="0.3">
      <c r="A155" s="270">
        <v>591632</v>
      </c>
      <c r="B155" s="963" t="s">
        <v>948</v>
      </c>
      <c r="C155" s="270">
        <v>59</v>
      </c>
      <c r="D155" s="170" t="s">
        <v>51</v>
      </c>
      <c r="K155" s="963"/>
    </row>
    <row r="156" spans="1:11" x14ac:dyDescent="0.3">
      <c r="A156" s="270">
        <v>591607</v>
      </c>
      <c r="B156" s="270" t="s">
        <v>953</v>
      </c>
      <c r="C156" s="270">
        <v>59</v>
      </c>
      <c r="D156" s="170" t="s">
        <v>51</v>
      </c>
    </row>
    <row r="157" spans="1:11" x14ac:dyDescent="0.3">
      <c r="A157" s="270">
        <v>591613</v>
      </c>
      <c r="B157" s="270" t="s">
        <v>1638</v>
      </c>
      <c r="C157" s="270">
        <v>59</v>
      </c>
      <c r="D157" s="170" t="s">
        <v>51</v>
      </c>
    </row>
    <row r="158" spans="1:11" x14ac:dyDescent="0.3">
      <c r="A158" s="270">
        <v>591616</v>
      </c>
      <c r="B158" s="963" t="s">
        <v>1639</v>
      </c>
      <c r="C158" s="270">
        <v>59</v>
      </c>
      <c r="D158" s="170" t="s">
        <v>51</v>
      </c>
      <c r="K158" s="963"/>
    </row>
    <row r="159" spans="1:11" x14ac:dyDescent="0.3">
      <c r="A159" s="270">
        <v>592368</v>
      </c>
      <c r="B159" s="270" t="s">
        <v>1002</v>
      </c>
      <c r="C159" s="270">
        <v>59</v>
      </c>
      <c r="D159" s="170" t="s">
        <v>51</v>
      </c>
    </row>
    <row r="160" spans="1:11" x14ac:dyDescent="0.3">
      <c r="A160" s="270">
        <v>591633</v>
      </c>
      <c r="B160" s="963" t="s">
        <v>1640</v>
      </c>
      <c r="C160" s="270">
        <v>59</v>
      </c>
      <c r="D160" s="170" t="s">
        <v>51</v>
      </c>
      <c r="K160" s="963"/>
    </row>
  </sheetData>
  <sheetProtection algorithmName="SHA-512" hashValue="G1XESMffUT5P8KbmcVtb7FngLSZS/kyozPhO9lBd3VtdUW4D2gu1NdJh9x3+/lePdhP31eRf2OUb7MGcJ7+pqg==" saltValue="2LCD4gj0vvLEQ0GtfoL99w=="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2021-08-02T19:01:02Z</cp:lastPrinted>
  <dcterms:created xsi:type="dcterms:W3CDTF">2011-03-11T21:05:05Z</dcterms:created>
  <dcterms:modified xsi:type="dcterms:W3CDTF">2022-09-19T17:22:54Z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